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arquivos\DOC_CMCG\INDICADORES\Indicadores 2024\2024.2\"/>
    </mc:Choice>
  </mc:AlternateContent>
  <xr:revisionPtr revIDLastSave="0" documentId="13_ncr:1_{A47138FB-A824-4189-9151-A0010B012B6F}" xr6:coauthVersionLast="47" xr6:coauthVersionMax="47" xr10:uidLastSave="{00000000-0000-0000-0000-000000000000}"/>
  <bookViews>
    <workbookView xWindow="-28920" yWindow="-120" windowWidth="29040" windowHeight="15720" xr2:uid="{00000000-000D-0000-FFFF-FFFF00000000}"/>
  </bookViews>
  <sheets>
    <sheet name="2º Semestre 2024" sheetId="6" r:id="rId1"/>
    <sheet name="1º Semestre 2025" sheetId="9" state="hidden" r:id="rId2"/>
    <sheet name="Resumo" sheetId="4" r:id="rId3"/>
  </sheets>
  <definedNames>
    <definedName name="__xlnm_Print_Area_1" localSheetId="1">#REF!</definedName>
    <definedName name="__xlnm_Print_Area_1" localSheetId="0">#REF!</definedName>
    <definedName name="__xlnm_Print_Area_1" localSheetId="2">#REF!</definedName>
    <definedName name="__xlnm_Print_Area_1">#REF!</definedName>
    <definedName name="_xlnm.Print_Titles" localSheetId="1">'1º Semestre 2025'!$1:$2</definedName>
    <definedName name="_xlnm.Print_Titles" localSheetId="0">'2º Semestre 2024'!$1:$2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9" i="6" l="1"/>
  <c r="J28" i="6"/>
  <c r="I29" i="6"/>
  <c r="I3" i="6"/>
  <c r="H3" i="6"/>
  <c r="C37" i="6" l="1"/>
  <c r="J12" i="9" l="1"/>
  <c r="J9" i="9"/>
  <c r="J15" i="9"/>
  <c r="J14" i="9"/>
  <c r="J13" i="9"/>
  <c r="I13" i="9"/>
  <c r="I14" i="9"/>
  <c r="I15" i="9"/>
  <c r="H15" i="9"/>
  <c r="H14" i="9"/>
  <c r="H13" i="9"/>
  <c r="I12" i="9"/>
  <c r="H12" i="9"/>
  <c r="J31" i="9" l="1"/>
  <c r="I31" i="9"/>
  <c r="H31" i="9"/>
  <c r="J30" i="9"/>
  <c r="I30" i="9"/>
  <c r="H30" i="9"/>
  <c r="H29" i="6"/>
  <c r="I28" i="6"/>
  <c r="H28" i="6"/>
  <c r="G36" i="9" l="1"/>
  <c r="G29" i="9"/>
  <c r="G27" i="9"/>
  <c r="G21" i="9"/>
  <c r="H28" i="9"/>
  <c r="H29" i="9" s="1"/>
  <c r="H20" i="9"/>
  <c r="H5" i="9"/>
  <c r="H4" i="9"/>
  <c r="H3" i="9"/>
  <c r="H32" i="9"/>
  <c r="H36" i="9" s="1"/>
  <c r="H26" i="9"/>
  <c r="H25" i="9"/>
  <c r="H24" i="9"/>
  <c r="H23" i="9"/>
  <c r="H22" i="9"/>
  <c r="H27" i="9" s="1"/>
  <c r="H19" i="9"/>
  <c r="H18" i="9"/>
  <c r="H17" i="9"/>
  <c r="H16" i="9"/>
  <c r="H11" i="9"/>
  <c r="H10" i="9"/>
  <c r="H9" i="9"/>
  <c r="H7" i="9"/>
  <c r="H6" i="9"/>
  <c r="H33" i="6"/>
  <c r="H32" i="6"/>
  <c r="H31" i="6"/>
  <c r="H34" i="6" s="1"/>
  <c r="H26" i="6"/>
  <c r="H27" i="6" s="1"/>
  <c r="H24" i="6"/>
  <c r="H23" i="6"/>
  <c r="H22" i="6"/>
  <c r="H21" i="6"/>
  <c r="H20" i="6"/>
  <c r="H11" i="6"/>
  <c r="H10" i="6"/>
  <c r="H18" i="6"/>
  <c r="H17" i="6"/>
  <c r="H16" i="6"/>
  <c r="H15" i="6"/>
  <c r="H14" i="6"/>
  <c r="H13" i="6"/>
  <c r="H9" i="6"/>
  <c r="H7" i="6"/>
  <c r="H6" i="6"/>
  <c r="H5" i="6"/>
  <c r="H4" i="6"/>
  <c r="G34" i="6"/>
  <c r="G27" i="6"/>
  <c r="G25" i="6"/>
  <c r="G19" i="6"/>
  <c r="H21" i="9" l="1"/>
  <c r="H25" i="6"/>
  <c r="J32" i="9"/>
  <c r="J36" i="9"/>
  <c r="J28" i="9"/>
  <c r="J29" i="9" s="1"/>
  <c r="J22" i="9"/>
  <c r="J26" i="9"/>
  <c r="J25" i="9"/>
  <c r="J24" i="9"/>
  <c r="J23" i="9"/>
  <c r="J20" i="9"/>
  <c r="J19" i="9"/>
  <c r="J18" i="9"/>
  <c r="J17" i="9"/>
  <c r="J16" i="9"/>
  <c r="J11" i="9"/>
  <c r="J10" i="9"/>
  <c r="J7" i="9"/>
  <c r="J6" i="9"/>
  <c r="J5" i="9"/>
  <c r="J4" i="9"/>
  <c r="J3" i="9"/>
  <c r="J32" i="6"/>
  <c r="J33" i="6"/>
  <c r="J31" i="6"/>
  <c r="J26" i="6"/>
  <c r="J27" i="6" s="1"/>
  <c r="J24" i="6"/>
  <c r="J23" i="6"/>
  <c r="J22" i="6"/>
  <c r="J21" i="6"/>
  <c r="J20" i="6"/>
  <c r="J25" i="6" s="1"/>
  <c r="J18" i="6"/>
  <c r="J17" i="6"/>
  <c r="J16" i="6"/>
  <c r="J15" i="6"/>
  <c r="J14" i="6"/>
  <c r="J13" i="6"/>
  <c r="J9" i="6"/>
  <c r="J3" i="6"/>
  <c r="J6" i="6"/>
  <c r="J5" i="6"/>
  <c r="J4" i="6"/>
  <c r="J11" i="6"/>
  <c r="J10" i="6"/>
  <c r="J7" i="6"/>
  <c r="J21" i="9" l="1"/>
  <c r="J34" i="6"/>
  <c r="J27" i="9"/>
  <c r="J19" i="6"/>
  <c r="E39" i="9"/>
  <c r="E37" i="6"/>
  <c r="C39" i="9" l="1"/>
  <c r="I32" i="9"/>
  <c r="I9" i="9"/>
  <c r="F39" i="9" l="1"/>
  <c r="D39" i="9"/>
  <c r="I36" i="9"/>
  <c r="I28" i="9"/>
  <c r="I29" i="9" s="1"/>
  <c r="I26" i="9"/>
  <c r="I25" i="9"/>
  <c r="I24" i="9"/>
  <c r="I23" i="9"/>
  <c r="I22" i="9"/>
  <c r="I20" i="9"/>
  <c r="I19" i="9"/>
  <c r="I18" i="9"/>
  <c r="I17" i="9"/>
  <c r="I16" i="9"/>
  <c r="I11" i="9"/>
  <c r="I10" i="9"/>
  <c r="I7" i="9"/>
  <c r="I6" i="9"/>
  <c r="I5" i="9"/>
  <c r="I4" i="9"/>
  <c r="I3" i="9"/>
  <c r="F37" i="6"/>
  <c r="D37" i="6"/>
  <c r="I27" i="9" l="1"/>
  <c r="I21" i="9"/>
  <c r="K29" i="9"/>
  <c r="K36" i="9"/>
  <c r="K21" i="9" l="1"/>
  <c r="K27" i="9"/>
  <c r="H19" i="6"/>
  <c r="K37" i="9" l="1"/>
  <c r="L37" i="9" s="1"/>
  <c r="I32" i="6"/>
  <c r="I16" i="6"/>
  <c r="I15" i="6"/>
  <c r="I14" i="6"/>
  <c r="I33" i="6"/>
  <c r="I31" i="6"/>
  <c r="I26" i="6"/>
  <c r="I27" i="6" s="1"/>
  <c r="K27" i="6" s="1"/>
  <c r="I24" i="6"/>
  <c r="I23" i="6"/>
  <c r="I22" i="6"/>
  <c r="I21" i="6"/>
  <c r="I20" i="6"/>
  <c r="I18" i="6"/>
  <c r="I17" i="6"/>
  <c r="I13" i="6"/>
  <c r="I11" i="6"/>
  <c r="I10" i="6"/>
  <c r="I9" i="6"/>
  <c r="I7" i="6"/>
  <c r="I6" i="6"/>
  <c r="I5" i="6"/>
  <c r="I4" i="6"/>
  <c r="I34" i="6" l="1"/>
  <c r="K34" i="6" s="1"/>
  <c r="I25" i="6"/>
  <c r="K25" i="6" s="1"/>
  <c r="B4" i="4"/>
  <c r="I19" i="6"/>
  <c r="K19" i="6" s="1"/>
  <c r="K35" i="6" l="1"/>
  <c r="L35" i="6" s="1"/>
  <c r="B3" i="4" s="1"/>
  <c r="B5" i="4" s="1"/>
  <c r="D3" i="4" s="1"/>
  <c r="C4" i="4"/>
  <c r="C3" i="4" l="1"/>
  <c r="D5" i="4"/>
  <c r="C5" i="4"/>
</calcChain>
</file>

<file path=xl/sharedStrings.xml><?xml version="1.0" encoding="utf-8"?>
<sst xmlns="http://schemas.openxmlformats.org/spreadsheetml/2006/main" count="171" uniqueCount="108">
  <si>
    <t>S1</t>
  </si>
  <si>
    <t>S2</t>
  </si>
  <si>
    <t>S3</t>
  </si>
  <si>
    <t>S4</t>
  </si>
  <si>
    <t>S5</t>
  </si>
  <si>
    <t>S6</t>
  </si>
  <si>
    <t>S7</t>
  </si>
  <si>
    <t>S8</t>
  </si>
  <si>
    <t>S9</t>
  </si>
  <si>
    <t>S10</t>
  </si>
  <si>
    <t>PROBEM</t>
  </si>
  <si>
    <t>S11</t>
  </si>
  <si>
    <t>S12</t>
  </si>
  <si>
    <t>GEDS</t>
  </si>
  <si>
    <t>S13</t>
  </si>
  <si>
    <t>S14</t>
  </si>
  <si>
    <t>S15</t>
  </si>
  <si>
    <t>CIGO</t>
  </si>
  <si>
    <t>S16</t>
  </si>
  <si>
    <t>S17</t>
  </si>
  <si>
    <t>S18</t>
  </si>
  <si>
    <t>S19</t>
  </si>
  <si>
    <t>S20</t>
  </si>
  <si>
    <t>S21</t>
  </si>
  <si>
    <t>S22</t>
  </si>
  <si>
    <t>S23</t>
  </si>
  <si>
    <t>S24</t>
  </si>
  <si>
    <t>S25</t>
  </si>
  <si>
    <t>S26</t>
  </si>
  <si>
    <t>Eficácia</t>
  </si>
  <si>
    <t>Economicidade</t>
  </si>
  <si>
    <t>Total</t>
  </si>
  <si>
    <t>Eficiência</t>
  </si>
  <si>
    <t>Código
Serviço</t>
  </si>
  <si>
    <t>CISF_ILPI</t>
  </si>
  <si>
    <t>CISF_CasaLar</t>
  </si>
  <si>
    <t>CISF_CentroDia</t>
  </si>
  <si>
    <t>CIVV_CasaLar</t>
  </si>
  <si>
    <t>CIVV_CentroDia</t>
  </si>
  <si>
    <t>EBV II_CentroDia</t>
  </si>
  <si>
    <t>EBV I_CentroDia</t>
  </si>
  <si>
    <t>CJTF_PJTF</t>
  </si>
  <si>
    <t>CJTF_PML</t>
  </si>
  <si>
    <t>S27</t>
  </si>
  <si>
    <t>S28</t>
  </si>
  <si>
    <t>GBS_Entidades</t>
  </si>
  <si>
    <t>GVPS_Mobilização</t>
  </si>
  <si>
    <t>CISF_Convivência</t>
  </si>
  <si>
    <t>CIVV_Convivência</t>
  </si>
  <si>
    <t>EBV I_Convivência</t>
  </si>
  <si>
    <t>EBV II_Convivência</t>
  </si>
  <si>
    <t>GVPS_Ações</t>
  </si>
  <si>
    <t>CAR_Trindade</t>
  </si>
  <si>
    <t>CAR_Muquém</t>
  </si>
  <si>
    <t>NATAL_Brinquedos</t>
  </si>
  <si>
    <t>NATAL_Visitantes</t>
  </si>
  <si>
    <t>Unidade Executora / Serviço / Programa</t>
  </si>
  <si>
    <t>Quantidade realizada</t>
  </si>
  <si>
    <t>Valor financeiro
planejado (R$)</t>
  </si>
  <si>
    <t>GVPS_Entidades</t>
  </si>
  <si>
    <t>GBS_Benefícios</t>
  </si>
  <si>
    <t>Qualidade</t>
  </si>
  <si>
    <t>Percentual de Cumprimento de Meta</t>
  </si>
  <si>
    <r>
      <rPr>
        <b/>
        <sz val="10"/>
        <rFont val="Arial Narrow"/>
        <family val="2"/>
      </rPr>
      <t>NI</t>
    </r>
    <r>
      <rPr>
        <sz val="10"/>
        <rFont val="Arial Narrow"/>
        <family val="2"/>
      </rPr>
      <t xml:space="preserve"> = Número de Indicadores / serviços válidos (Que serão computados no cálculo)</t>
    </r>
  </si>
  <si>
    <t>EIXO 2: IAADGD - Índice de Ações de Assessoramento e Defesa e Garantia de Direitos = (S17+S18+S19+S20+S21) / NI</t>
  </si>
  <si>
    <t>EIXO 1: IAA - Índice de Ações de Atendimento = (S1+S2+S3+S4+S5+S6+S7+S8+S9+S10+S11+S12+S13+S14+S15+S16) / NI</t>
  </si>
  <si>
    <t>EIXO 3: IBS - Índice de Benefícios Sociais = S22 / NI</t>
  </si>
  <si>
    <t>Desempenho</t>
  </si>
  <si>
    <t>Nota</t>
  </si>
  <si>
    <t/>
  </si>
  <si>
    <t>Orientação</t>
  </si>
  <si>
    <t>23º Termo Aditivo</t>
  </si>
  <si>
    <t>Período</t>
  </si>
  <si>
    <t>2º semestre 2024</t>
  </si>
  <si>
    <t>1º semestre 2025</t>
  </si>
  <si>
    <t>Classificação de Desempenho Institucional</t>
  </si>
  <si>
    <t>AVALIAÇÃO DO DESEMPENHO DA ORGANIZAÇÃO SOCIAL DO 23º TERMO ADITIVO</t>
  </si>
  <si>
    <t>Valor financeiro realizado (R$)</t>
  </si>
  <si>
    <t>Quantidade planejada</t>
  </si>
  <si>
    <t>GGSA</t>
  </si>
  <si>
    <t>EIXO 4: IACEPPIS - Índice Outras Ações - Campanhas, Eventos de Promoção, Proteção e Inclusão Social = (S23+S24+S25+S26+S27+S28) / NI</t>
  </si>
  <si>
    <t>CIVV_CasasLares</t>
  </si>
  <si>
    <t>EBV III_CasasLares</t>
  </si>
  <si>
    <t>EBV III_Convivência</t>
  </si>
  <si>
    <t>EIXO 1: IAA - Índice de Ações de Atendimento = (S1+S2+S3+S4+S5+S6+S7+S8+S9+S10+S11+S12+S13+S14+S15+S16+S17+S18) / NI</t>
  </si>
  <si>
    <t>S29</t>
  </si>
  <si>
    <t>S30</t>
  </si>
  <si>
    <t>EIXO 2: IAADGD - Índice de Ações de Assessoramento e Defesa e Garantia de Direitos = (S19+S20+S21+S22+S23) / NI</t>
  </si>
  <si>
    <t>EIXO 3: IBS - Índice de Benefícios Sociais = S24 / NI</t>
  </si>
  <si>
    <t>EIXO 4: IACEPPIS - Índice Outras Ações - Campanhas, Eventos de Promoção, Proteção e Inclusão Social = (S25+S26+S27+S28+S29+S30) / NI</t>
  </si>
  <si>
    <t>IDI - ÍNDICE DE DESEMPENHO INSTITUCIONAL = (EIXO 1 + EIXO 2 + EIXO 3 + EIXO 4) / 4</t>
  </si>
  <si>
    <t>Despesas e Quantitativos por Unidade Executora - Plano de Trabalho - 23º e 24º Termos Aditivos - 2º semestre de 2024</t>
  </si>
  <si>
    <t>Despesas e Quantitativos por Unidade Executora - Plano de Trabalho - 23º e 24º Termos Aditivos - 1º semestre de 2025</t>
  </si>
  <si>
    <t>Banco de Alimentos</t>
  </si>
  <si>
    <t>Restaurante do Bem</t>
  </si>
  <si>
    <t>NOTAS EXPLICATIVAS</t>
  </si>
  <si>
    <r>
      <t>CISF_ILPI</t>
    </r>
    <r>
      <rPr>
        <vertAlign val="superscript"/>
        <sz val="11"/>
        <color indexed="8"/>
        <rFont val="Aptos"/>
        <family val="2"/>
      </rPr>
      <t>1</t>
    </r>
  </si>
  <si>
    <r>
      <t>CISF_Casas Lares</t>
    </r>
    <r>
      <rPr>
        <vertAlign val="superscript"/>
        <sz val="11"/>
        <color indexed="8"/>
        <rFont val="Aptos"/>
        <family val="2"/>
      </rPr>
      <t>1</t>
    </r>
  </si>
  <si>
    <r>
      <t>CISF_Centro Dia</t>
    </r>
    <r>
      <rPr>
        <vertAlign val="superscript"/>
        <sz val="11"/>
        <color indexed="8"/>
        <rFont val="Aptos"/>
        <family val="2"/>
      </rPr>
      <t>1</t>
    </r>
  </si>
  <si>
    <r>
      <t>CISF_Convivência</t>
    </r>
    <r>
      <rPr>
        <vertAlign val="superscript"/>
        <sz val="11"/>
        <color indexed="8"/>
        <rFont val="Aptos"/>
        <family val="2"/>
      </rPr>
      <t>1</t>
    </r>
  </si>
  <si>
    <r>
      <t>GEDS</t>
    </r>
    <r>
      <rPr>
        <vertAlign val="superscript"/>
        <sz val="11"/>
        <color indexed="8"/>
        <rFont val="Aptos"/>
        <family val="2"/>
      </rPr>
      <t>1</t>
    </r>
  </si>
  <si>
    <r>
      <t>Restaurante do Bem</t>
    </r>
    <r>
      <rPr>
        <vertAlign val="superscript"/>
        <sz val="11"/>
        <color indexed="8"/>
        <rFont val="Aptos"/>
        <family val="2"/>
      </rPr>
      <t>1</t>
    </r>
  </si>
  <si>
    <r>
      <t>EBV I_CentroDia</t>
    </r>
    <r>
      <rPr>
        <vertAlign val="superscript"/>
        <sz val="11"/>
        <color indexed="8"/>
        <rFont val="Aptos"/>
        <family val="2"/>
      </rPr>
      <t>2</t>
    </r>
  </si>
  <si>
    <r>
      <t>EBV I_Convivência</t>
    </r>
    <r>
      <rPr>
        <vertAlign val="superscript"/>
        <sz val="11"/>
        <color indexed="8"/>
        <rFont val="Aptos"/>
        <family val="2"/>
      </rPr>
      <t>2</t>
    </r>
  </si>
  <si>
    <t>1) Conforme mencionado no Ofício nº 813, de 16.05.2024, processo SEI nº 202400005007959, que tratou do 23º Termo Aditivo, houve redução nos recursos financeiros solicitados para o Centro de Idosos Sagrada Família (CISF), Gerência de Enfrentamento às Desproteções Sociais (GEDS) e Restaurante do Bem (RB), em relação ao 22º TA, em razão das unidades executoras contarem com recursos em caixa de aditivos anteriores. Diante disso, os valores realizados ficaram maiores que 100%.</t>
  </si>
  <si>
    <r>
      <t>Banco de Alimentos</t>
    </r>
    <r>
      <rPr>
        <vertAlign val="superscript"/>
        <sz val="11"/>
        <color indexed="8"/>
        <rFont val="Aptos"/>
        <family val="2"/>
      </rPr>
      <t>3</t>
    </r>
  </si>
  <si>
    <t>2) O Centro Dia do Espaço Bem Viver I (EBV I) foi previsto para iniciar em abril, mas as atividades começaram em agosto, devido ao atraso na execução das obras, impactando na meta e, consequentemente, nos índices dos Indicadores de Desempenho. Atualmente, contamos com 12 pessoas idosas atendidas/mês, de um total de 15, o que representa 80% da meta pactuada. A equipe multiprofissional continua realizando visitas e análises das solicitações de acolhimento até o preenchimento total das vagas. Em relação às despesas, que ficaram acima do pactuado, também estão relacionadas à recursos em caixa, provenientes de aditivos anteriores, superando os 100%.</t>
  </si>
  <si>
    <t xml:space="preserve">3) O Programa Banco de Alimentos, também em razão de recursos em caixa de aditivos anteriores, superou os 100% da meta financeira. Foram adquiridos insumos e equipamentos, visando melhorar os processos produtivos, resultando em benefícios para o atendimento às famílias e entidades sociais.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</si>
</sst>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R$&quot;\ * #,##0.00_-;\-&quot;R$&quot;\ * #,##0.00_-;_-&quot;R$&quot;\ * &quot;-&quot;??_-;_-@_-"/>
    <numFmt numFmtId="43" formatCode="_-* #,##0.00_-;\-* #,##0.00_-;_-* &quot;-&quot;??_-;_-@_-"/>
    <numFmt numFmtId="164" formatCode="#,##0.0"/>
    <numFmt numFmtId="165" formatCode="_-* #,##0.0_-;\-* #,##0.0_-;_-* &quot;-&quot;??_-;_-@_-"/>
  </numFmts>
  <fonts count="13" x14ac:knownFonts="1">
    <font>
      <sz val="11"/>
      <color indexed="8"/>
      <name val="Calibri"/>
      <family val="2"/>
      <charset val="1"/>
    </font>
    <font>
      <sz val="10"/>
      <name val="Arial"/>
      <family val="2"/>
    </font>
    <font>
      <b/>
      <sz val="10"/>
      <name val="Arial Narrow"/>
      <family val="2"/>
    </font>
    <font>
      <sz val="10"/>
      <name val="Arial Narrow"/>
      <family val="2"/>
    </font>
    <font>
      <sz val="11"/>
      <color indexed="8"/>
      <name val="Calibri"/>
      <family val="2"/>
    </font>
    <font>
      <sz val="11"/>
      <color theme="1"/>
      <name val="Calibri"/>
      <family val="2"/>
      <scheme val="minor"/>
    </font>
    <font>
      <b/>
      <sz val="10"/>
      <name val="Arial"/>
      <family val="2"/>
    </font>
    <font>
      <b/>
      <sz val="9"/>
      <name val="Arial Narrow"/>
      <family val="2"/>
    </font>
    <font>
      <sz val="8"/>
      <name val="Calibri"/>
      <family val="2"/>
      <charset val="1"/>
    </font>
    <font>
      <b/>
      <sz val="10"/>
      <color theme="1"/>
      <name val="Arial Narrow"/>
      <family val="2"/>
    </font>
    <font>
      <b/>
      <sz val="10"/>
      <color theme="0"/>
      <name val="Arial Narrow"/>
      <family val="2"/>
    </font>
    <font>
      <sz val="11"/>
      <color indexed="8"/>
      <name val="Calibri"/>
      <family val="2"/>
      <charset val="1"/>
    </font>
    <font>
      <vertAlign val="superscript"/>
      <sz val="11"/>
      <color indexed="8"/>
      <name val="Aptos"/>
      <family val="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s>
  <cellStyleXfs count="6">
    <xf numFmtId="0" fontId="0" fillId="0" borderId="0"/>
    <xf numFmtId="43" fontId="1" fillId="0" borderId="0" applyFill="0" applyBorder="0" applyAlignment="0" applyProtection="0"/>
    <xf numFmtId="44" fontId="1" fillId="0" borderId="0" applyFill="0" applyBorder="0" applyAlignment="0" applyProtection="0"/>
    <xf numFmtId="0" fontId="4" fillId="0" borderId="0"/>
    <xf numFmtId="0" fontId="5" fillId="0" borderId="0"/>
    <xf numFmtId="9" fontId="11" fillId="0" borderId="0" applyFont="0" applyFill="0" applyBorder="0" applyAlignment="0" applyProtection="0"/>
  </cellStyleXfs>
  <cellXfs count="64">
    <xf numFmtId="0" fontId="0" fillId="0" borderId="0" xfId="0"/>
    <xf numFmtId="43" fontId="3" fillId="0" borderId="0" xfId="1" applyFont="1" applyAlignment="1">
      <alignment vertical="center" wrapText="1"/>
    </xf>
    <xf numFmtId="43" fontId="3" fillId="0" borderId="1" xfId="1" applyFont="1" applyFill="1" applyBorder="1" applyAlignment="1">
      <alignment vertical="center" wrapText="1"/>
    </xf>
    <xf numFmtId="164" fontId="3" fillId="0" borderId="1" xfId="2" applyNumberFormat="1" applyFont="1" applyFill="1" applyBorder="1" applyAlignment="1">
      <alignment horizontal="right" vertical="center" wrapText="1"/>
    </xf>
    <xf numFmtId="0" fontId="3" fillId="0" borderId="0" xfId="0" applyFont="1" applyAlignment="1">
      <alignment vertical="center" wrapText="1"/>
    </xf>
    <xf numFmtId="0" fontId="3" fillId="0" borderId="0" xfId="0" applyFont="1" applyAlignment="1">
      <alignment horizontal="left" vertical="center" wrapText="1"/>
    </xf>
    <xf numFmtId="3" fontId="3" fillId="2" borderId="1" xfId="2" applyNumberFormat="1" applyFont="1" applyFill="1" applyBorder="1" applyAlignment="1">
      <alignment horizontal="right" vertical="center" wrapText="1" indent="1"/>
    </xf>
    <xf numFmtId="0" fontId="3" fillId="2" borderId="0" xfId="0" applyFont="1" applyFill="1" applyAlignment="1">
      <alignment vertical="center" wrapText="1"/>
    </xf>
    <xf numFmtId="3" fontId="3" fillId="2" borderId="0" xfId="0" applyNumberFormat="1" applyFont="1" applyFill="1" applyAlignment="1">
      <alignment vertical="center" wrapText="1"/>
    </xf>
    <xf numFmtId="164" fontId="2" fillId="5" borderId="1" xfId="2" applyNumberFormat="1" applyFont="1" applyFill="1" applyBorder="1" applyAlignment="1">
      <alignment horizontal="right" vertical="center" wrapText="1"/>
    </xf>
    <xf numFmtId="49" fontId="2" fillId="5" borderId="1" xfId="0" applyNumberFormat="1" applyFont="1" applyFill="1" applyBorder="1" applyAlignment="1">
      <alignment horizontal="center" vertical="center" wrapText="1"/>
    </xf>
    <xf numFmtId="164" fontId="3" fillId="3" borderId="5" xfId="2" applyNumberFormat="1" applyFont="1" applyFill="1" applyBorder="1" applyAlignment="1">
      <alignment horizontal="right" vertical="center" wrapText="1"/>
    </xf>
    <xf numFmtId="3" fontId="3" fillId="3" borderId="5" xfId="2" applyNumberFormat="1" applyFont="1" applyFill="1" applyBorder="1" applyAlignment="1">
      <alignment horizontal="right" vertical="center" wrapText="1" indent="1"/>
    </xf>
    <xf numFmtId="3" fontId="3" fillId="0" borderId="0" xfId="0" applyNumberFormat="1" applyFont="1" applyAlignment="1">
      <alignment horizontal="right" vertical="center" wrapText="1"/>
    </xf>
    <xf numFmtId="164" fontId="2" fillId="5" borderId="1" xfId="1" applyNumberFormat="1" applyFont="1" applyFill="1" applyBorder="1" applyAlignment="1">
      <alignment horizontal="right" vertical="center" wrapText="1"/>
    </xf>
    <xf numFmtId="43" fontId="3" fillId="0" borderId="0" xfId="1" applyFont="1" applyAlignment="1">
      <alignment horizontal="right" vertical="center" wrapText="1"/>
    </xf>
    <xf numFmtId="3" fontId="3" fillId="4" borderId="1" xfId="2" applyNumberFormat="1" applyFont="1" applyFill="1" applyBorder="1" applyAlignment="1" applyProtection="1">
      <alignment horizontal="right" vertical="center" wrapText="1" indent="1"/>
      <protection locked="0"/>
    </xf>
    <xf numFmtId="43" fontId="6" fillId="5" borderId="1" xfId="1" applyFont="1" applyFill="1" applyBorder="1" applyAlignment="1">
      <alignment vertical="center" wrapText="1"/>
    </xf>
    <xf numFmtId="3" fontId="2" fillId="5" borderId="1" xfId="2" applyNumberFormat="1" applyFont="1" applyFill="1" applyBorder="1" applyAlignment="1">
      <alignment horizontal="right" vertical="center" wrapText="1" indent="1"/>
    </xf>
    <xf numFmtId="49" fontId="2" fillId="5" borderId="1" xfId="1" applyNumberFormat="1" applyFont="1" applyFill="1" applyBorder="1" applyAlignment="1">
      <alignment horizontal="center" vertical="center" wrapText="1"/>
    </xf>
    <xf numFmtId="49" fontId="2" fillId="5" borderId="1" xfId="0" applyNumberFormat="1" applyFont="1" applyFill="1" applyBorder="1" applyAlignment="1">
      <alignment horizontal="left" vertical="center" wrapText="1" indent="1"/>
    </xf>
    <xf numFmtId="3" fontId="3" fillId="3" borderId="5" xfId="2" applyNumberFormat="1" applyFont="1" applyFill="1" applyBorder="1" applyAlignment="1" applyProtection="1">
      <alignment horizontal="right" vertical="center" wrapText="1" indent="1"/>
    </xf>
    <xf numFmtId="164" fontId="3" fillId="0" borderId="1" xfId="2" applyNumberFormat="1" applyFont="1" applyFill="1" applyBorder="1" applyAlignment="1" applyProtection="1">
      <alignment horizontal="right" vertical="center" wrapText="1"/>
      <protection locked="0"/>
    </xf>
    <xf numFmtId="43" fontId="3" fillId="0" borderId="1" xfId="1" applyFont="1" applyFill="1" applyBorder="1" applyAlignment="1" applyProtection="1">
      <alignment vertical="center" wrapText="1"/>
      <protection locked="0"/>
    </xf>
    <xf numFmtId="3" fontId="3" fillId="2" borderId="1" xfId="2" applyNumberFormat="1" applyFont="1" applyFill="1" applyBorder="1" applyAlignment="1" applyProtection="1">
      <alignment horizontal="right" vertical="center" wrapText="1" indent="1"/>
      <protection locked="0"/>
    </xf>
    <xf numFmtId="3" fontId="2" fillId="5" borderId="1" xfId="2" applyNumberFormat="1" applyFont="1" applyFill="1" applyBorder="1" applyAlignment="1">
      <alignment horizontal="center" vertical="center" wrapText="1"/>
    </xf>
    <xf numFmtId="165" fontId="3" fillId="0" borderId="0" xfId="1" applyNumberFormat="1" applyFont="1" applyAlignment="1">
      <alignment horizontal="right" vertical="center" wrapText="1"/>
    </xf>
    <xf numFmtId="0" fontId="3" fillId="2" borderId="0" xfId="0" quotePrefix="1" applyFont="1" applyFill="1" applyAlignment="1">
      <alignment vertical="center" wrapText="1"/>
    </xf>
    <xf numFmtId="0" fontId="9" fillId="5" borderId="1" xfId="0" applyFont="1" applyFill="1" applyBorder="1" applyAlignment="1">
      <alignment horizontal="center" vertical="center"/>
    </xf>
    <xf numFmtId="0" fontId="9" fillId="0" borderId="1" xfId="0" applyFont="1" applyBorder="1" applyAlignment="1">
      <alignment horizontal="left" vertical="center" indent="1"/>
    </xf>
    <xf numFmtId="164" fontId="3" fillId="4" borderId="1" xfId="2" applyNumberFormat="1" applyFont="1" applyFill="1" applyBorder="1" applyAlignment="1" applyProtection="1">
      <alignment horizontal="right" vertical="center" wrapText="1"/>
      <protection locked="0"/>
    </xf>
    <xf numFmtId="3" fontId="2" fillId="0" borderId="1" xfId="0" applyNumberFormat="1" applyFont="1" applyBorder="1" applyAlignment="1">
      <alignment horizontal="right" vertical="center" wrapText="1" indent="4"/>
    </xf>
    <xf numFmtId="164" fontId="2" fillId="5" borderId="1" xfId="0" applyNumberFormat="1" applyFont="1" applyFill="1" applyBorder="1" applyAlignment="1">
      <alignment horizontal="right" vertical="center" wrapText="1" indent="4"/>
    </xf>
    <xf numFmtId="0" fontId="9" fillId="0" borderId="6" xfId="0" applyFont="1" applyBorder="1" applyAlignment="1">
      <alignment horizontal="left" vertical="center" indent="1"/>
    </xf>
    <xf numFmtId="0" fontId="10" fillId="0" borderId="1" xfId="0" applyFont="1" applyBorder="1" applyAlignment="1">
      <alignment horizontal="right" vertical="center" indent="7"/>
    </xf>
    <xf numFmtId="0" fontId="12" fillId="0" borderId="0" xfId="0" applyFont="1"/>
    <xf numFmtId="9" fontId="3" fillId="0" borderId="0" xfId="5" applyFont="1" applyAlignment="1">
      <alignment horizontal="right" vertical="center" wrapText="1"/>
    </xf>
    <xf numFmtId="43" fontId="3" fillId="0" borderId="1" xfId="1" applyFont="1" applyFill="1" applyBorder="1" applyAlignment="1" applyProtection="1">
      <alignment horizontal="center" vertical="center" wrapText="1"/>
      <protection locked="0"/>
    </xf>
    <xf numFmtId="49" fontId="7" fillId="5" borderId="1" xfId="3" applyNumberFormat="1" applyFont="1" applyFill="1" applyBorder="1" applyAlignment="1">
      <alignment horizontal="left" vertical="center" wrapText="1" indent="1"/>
    </xf>
    <xf numFmtId="43" fontId="3" fillId="0" borderId="1" xfId="1" applyFont="1" applyFill="1" applyBorder="1" applyAlignment="1">
      <alignment horizontal="center" vertical="center" wrapText="1"/>
    </xf>
    <xf numFmtId="43" fontId="3" fillId="0" borderId="6" xfId="1" applyFont="1" applyFill="1" applyBorder="1" applyAlignment="1">
      <alignment horizontal="center" vertical="center" wrapText="1"/>
    </xf>
    <xf numFmtId="43" fontId="3" fillId="0" borderId="7" xfId="1" applyFont="1" applyFill="1" applyBorder="1" applyAlignment="1">
      <alignment horizontal="center" vertical="center" wrapText="1"/>
    </xf>
    <xf numFmtId="43" fontId="3" fillId="0" borderId="6" xfId="1" applyFont="1" applyFill="1" applyBorder="1" applyAlignment="1" applyProtection="1">
      <alignment horizontal="center" vertical="center" wrapText="1"/>
      <protection locked="0"/>
    </xf>
    <xf numFmtId="43" fontId="3" fillId="0" borderId="7" xfId="1" applyFont="1" applyFill="1" applyBorder="1" applyAlignment="1" applyProtection="1">
      <alignment horizontal="center" vertical="center" wrapText="1"/>
      <protection locked="0"/>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0" borderId="2"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49" fontId="2" fillId="5" borderId="1" xfId="0" applyNumberFormat="1" applyFont="1" applyFill="1" applyBorder="1" applyAlignment="1">
      <alignment horizontal="center" vertical="center" wrapText="1"/>
    </xf>
    <xf numFmtId="49" fontId="2" fillId="5" borderId="1" xfId="1" applyNumberFormat="1" applyFont="1" applyFill="1" applyBorder="1" applyAlignment="1">
      <alignment horizontal="center" vertical="center" wrapText="1"/>
    </xf>
    <xf numFmtId="49" fontId="7" fillId="5" borderId="2" xfId="3" applyNumberFormat="1" applyFont="1" applyFill="1" applyBorder="1" applyAlignment="1">
      <alignment horizontal="left" vertical="center" wrapText="1" indent="1"/>
    </xf>
    <xf numFmtId="49" fontId="7" fillId="5" borderId="3" xfId="3" applyNumberFormat="1" applyFont="1" applyFill="1" applyBorder="1" applyAlignment="1">
      <alignment horizontal="left" vertical="center" wrapText="1" indent="1"/>
    </xf>
    <xf numFmtId="49" fontId="7" fillId="5" borderId="4" xfId="3" applyNumberFormat="1" applyFont="1" applyFill="1" applyBorder="1" applyAlignment="1">
      <alignment horizontal="left" vertical="center" wrapText="1" indent="1"/>
    </xf>
    <xf numFmtId="3" fontId="2" fillId="5" borderId="6" xfId="2" applyNumberFormat="1" applyFont="1" applyFill="1" applyBorder="1" applyAlignment="1">
      <alignment horizontal="center" vertical="center" wrapText="1"/>
    </xf>
    <xf numFmtId="3" fontId="2" fillId="5" borderId="9" xfId="2" applyNumberFormat="1" applyFont="1" applyFill="1" applyBorder="1" applyAlignment="1">
      <alignment horizontal="center" vertical="center" wrapText="1"/>
    </xf>
    <xf numFmtId="3" fontId="2" fillId="5" borderId="7" xfId="2" applyNumberFormat="1" applyFont="1" applyFill="1" applyBorder="1" applyAlignment="1">
      <alignment horizontal="center" vertical="center" wrapText="1"/>
    </xf>
    <xf numFmtId="0" fontId="3" fillId="0" borderId="8" xfId="0" applyFont="1" applyBorder="1" applyAlignment="1">
      <alignment horizontal="left" vertical="center" wrapText="1"/>
    </xf>
    <xf numFmtId="49" fontId="6" fillId="5" borderId="2" xfId="1" applyNumberFormat="1" applyFont="1" applyFill="1" applyBorder="1" applyAlignment="1">
      <alignment horizontal="center" vertical="center" wrapText="1"/>
    </xf>
    <xf numFmtId="49" fontId="6" fillId="5" borderId="4" xfId="1" applyNumberFormat="1" applyFont="1" applyFill="1" applyBorder="1" applyAlignment="1">
      <alignment horizontal="center" vertical="center" wrapText="1"/>
    </xf>
    <xf numFmtId="164" fontId="2" fillId="5" borderId="6" xfId="2" applyNumberFormat="1" applyFont="1" applyFill="1" applyBorder="1" applyAlignment="1">
      <alignment horizontal="center" vertical="center" wrapText="1"/>
    </xf>
    <xf numFmtId="164" fontId="2" fillId="5" borderId="9" xfId="2" applyNumberFormat="1" applyFont="1" applyFill="1" applyBorder="1" applyAlignment="1">
      <alignment horizontal="center" vertical="center" wrapText="1"/>
    </xf>
    <xf numFmtId="164" fontId="2" fillId="5" borderId="7" xfId="2" applyNumberFormat="1" applyFont="1" applyFill="1" applyBorder="1" applyAlignment="1">
      <alignment horizontal="center" vertical="center" wrapText="1"/>
    </xf>
  </cellXfs>
  <cellStyles count="6">
    <cellStyle name="Moeda" xfId="2" builtinId="4"/>
    <cellStyle name="Normal" xfId="0" builtinId="0"/>
    <cellStyle name="Normal 2" xfId="3" xr:uid="{00000000-0005-0000-0000-000002000000}"/>
    <cellStyle name="Normal 4" xfId="4" xr:uid="{00000000-0005-0000-0000-000003000000}"/>
    <cellStyle name="Porcentagem" xfId="5" builtinId="5"/>
    <cellStyle name="Vírgula" xfId="1" builtinId="3"/>
  </cellStyles>
  <dxfs count="45">
    <dxf>
      <font>
        <b/>
        <i val="0"/>
        <color theme="8"/>
      </font>
    </dxf>
    <dxf>
      <font>
        <b/>
        <i val="0"/>
        <color rgb="FFFF0000"/>
      </font>
    </dxf>
    <dxf>
      <font>
        <b/>
        <i val="0"/>
        <color theme="8"/>
      </font>
    </dxf>
    <dxf>
      <font>
        <b/>
        <i val="0"/>
        <color rgb="FFFF0000"/>
      </font>
    </dxf>
    <dxf>
      <fill>
        <patternFill>
          <bgColor rgb="FF00B0F0"/>
        </patternFill>
      </fill>
    </dxf>
    <dxf>
      <fill>
        <patternFill>
          <bgColor rgb="FFFF0000"/>
        </patternFill>
      </fill>
    </dxf>
    <dxf>
      <fill>
        <patternFill>
          <bgColor rgb="FFFFFF00"/>
        </patternFill>
      </fill>
    </dxf>
    <dxf>
      <fill>
        <patternFill>
          <bgColor rgb="FF92D05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s>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5"/>
  <sheetViews>
    <sheetView tabSelected="1" zoomScaleNormal="100" zoomScaleSheetLayoutView="100" workbookViewId="0">
      <selection activeCell="R13" sqref="R13"/>
    </sheetView>
  </sheetViews>
  <sheetFormatPr defaultColWidth="8.85546875" defaultRowHeight="25.5" customHeight="1" x14ac:dyDescent="0.25"/>
  <cols>
    <col min="1" max="1" width="18.7109375" style="5" customWidth="1"/>
    <col min="2" max="2" width="9.42578125" style="5" customWidth="1"/>
    <col min="3" max="3" width="15" style="1" bestFit="1" customWidth="1"/>
    <col min="4" max="4" width="12.7109375" style="13" customWidth="1"/>
    <col min="5" max="5" width="15" style="1" bestFit="1" customWidth="1"/>
    <col min="6" max="6" width="12.7109375" style="13" customWidth="1"/>
    <col min="7" max="7" width="8.7109375" style="15" customWidth="1"/>
    <col min="8" max="8" width="7.28515625" style="15" customWidth="1"/>
    <col min="9" max="9" width="8.5703125" style="15" customWidth="1"/>
    <col min="10" max="10" width="12.42578125" style="15" customWidth="1"/>
    <col min="11" max="11" width="11.140625" style="15" customWidth="1"/>
    <col min="12" max="12" width="7.28515625" style="15" customWidth="1"/>
    <col min="13" max="14" width="8.85546875" style="4"/>
    <col min="15" max="15" width="9.140625" style="4" bestFit="1" customWidth="1"/>
    <col min="16" max="16384" width="8.85546875" style="4"/>
  </cols>
  <sheetData>
    <row r="1" spans="1:12" ht="25.5" customHeight="1" x14ac:dyDescent="0.25">
      <c r="A1" s="50" t="s">
        <v>91</v>
      </c>
      <c r="B1" s="50"/>
      <c r="C1" s="50"/>
      <c r="D1" s="50"/>
      <c r="E1" s="50"/>
      <c r="F1" s="50"/>
      <c r="G1" s="51" t="s">
        <v>62</v>
      </c>
      <c r="H1" s="51"/>
      <c r="I1" s="51"/>
      <c r="J1" s="51"/>
      <c r="K1" s="51"/>
      <c r="L1" s="51" t="s">
        <v>68</v>
      </c>
    </row>
    <row r="2" spans="1:12" ht="25.5" customHeight="1" x14ac:dyDescent="0.25">
      <c r="A2" s="10" t="s">
        <v>56</v>
      </c>
      <c r="B2" s="10" t="s">
        <v>33</v>
      </c>
      <c r="C2" s="19" t="s">
        <v>58</v>
      </c>
      <c r="D2" s="10" t="s">
        <v>78</v>
      </c>
      <c r="E2" s="19" t="s">
        <v>77</v>
      </c>
      <c r="F2" s="10" t="s">
        <v>57</v>
      </c>
      <c r="G2" s="19" t="s">
        <v>61</v>
      </c>
      <c r="H2" s="19" t="s">
        <v>29</v>
      </c>
      <c r="I2" s="19" t="s">
        <v>32</v>
      </c>
      <c r="J2" s="19" t="s">
        <v>30</v>
      </c>
      <c r="K2" s="19" t="s">
        <v>67</v>
      </c>
      <c r="L2" s="51"/>
    </row>
    <row r="3" spans="1:12" ht="16.5" x14ac:dyDescent="0.25">
      <c r="A3" s="20" t="s">
        <v>96</v>
      </c>
      <c r="B3" s="10" t="s">
        <v>0</v>
      </c>
      <c r="C3" s="39">
        <v>6349847</v>
      </c>
      <c r="D3" s="6">
        <v>402</v>
      </c>
      <c r="E3" s="37">
        <v>7272125.21</v>
      </c>
      <c r="F3" s="16">
        <v>400</v>
      </c>
      <c r="G3" s="30">
        <v>80</v>
      </c>
      <c r="H3" s="3">
        <f>IFERROR(IF((F3/D3*100)&gt;100,100,(F3/D3*100)),0)</f>
        <v>99.50248756218906</v>
      </c>
      <c r="I3" s="3">
        <f>IFERROR(IF(((F3/$E$3)/(D3/$C$3)*100)&gt;100,100,((F3/$E$3)/(D3/$C$3)*100)),0)</f>
        <v>86.883208676120063</v>
      </c>
      <c r="J3" s="3">
        <f>IFERROR(IF(((($C$3/D3)-($E$3/F3))/($E$3/F3)+1)*100&gt;100,100,((($C$3/D3)-($E$3/F3))/($E$3/F3)+1)*100),0)</f>
        <v>86.883208676120077</v>
      </c>
      <c r="K3" s="61"/>
      <c r="L3" s="55"/>
    </row>
    <row r="4" spans="1:12" ht="16.5" x14ac:dyDescent="0.25">
      <c r="A4" s="20" t="s">
        <v>97</v>
      </c>
      <c r="B4" s="10" t="s">
        <v>1</v>
      </c>
      <c r="C4" s="39"/>
      <c r="D4" s="6">
        <v>168</v>
      </c>
      <c r="E4" s="37"/>
      <c r="F4" s="16">
        <v>151</v>
      </c>
      <c r="G4" s="30">
        <v>80</v>
      </c>
      <c r="H4" s="3">
        <f t="shared" ref="H4:H33" si="0">IFERROR(IF((F4/D4*100)&gt;100,100,(F4/D4*100)),0)</f>
        <v>89.88095238095238</v>
      </c>
      <c r="I4" s="3">
        <f>IFERROR(IF(((F4/$E$3)/(D4/$C$3)*100)&gt;100,100,((F4/$E$3)/(D4/$C$3)*100)),0)</f>
        <v>78.48191269431311</v>
      </c>
      <c r="J4" s="3">
        <f>IFERROR(IF(((($C$3/D4)-($E$3/F4))/($E$3/F4)+1)*100&gt;100,100,((($C$3/D4)-($E$3/F4))/($E$3/F4)+1)*100),0)</f>
        <v>78.48191269431311</v>
      </c>
      <c r="K4" s="62"/>
      <c r="L4" s="56"/>
    </row>
    <row r="5" spans="1:12" ht="16.5" x14ac:dyDescent="0.25">
      <c r="A5" s="20" t="s">
        <v>98</v>
      </c>
      <c r="B5" s="10" t="s">
        <v>2</v>
      </c>
      <c r="C5" s="39"/>
      <c r="D5" s="6">
        <v>180</v>
      </c>
      <c r="E5" s="37"/>
      <c r="F5" s="16">
        <v>186</v>
      </c>
      <c r="G5" s="30">
        <v>100</v>
      </c>
      <c r="H5" s="3">
        <f t="shared" si="0"/>
        <v>100</v>
      </c>
      <c r="I5" s="3">
        <f>IFERROR(IF(((F5/$E$3)/(D5/$C$3)*100)&gt;100,100,((F5/$E$3)/(D5/$C$3)*100)),0)</f>
        <v>90.228212210150701</v>
      </c>
      <c r="J5" s="3">
        <f>IFERROR(IF(((($C$3/D5)-($E$3/F5))/($E$3/F5)+1)*100&gt;100,100,((($C$3/D5)-($E$3/F5))/($E$3/F5)+1)*100),0)</f>
        <v>90.228212210150687</v>
      </c>
      <c r="K5" s="62"/>
      <c r="L5" s="56"/>
    </row>
    <row r="6" spans="1:12" ht="16.5" x14ac:dyDescent="0.25">
      <c r="A6" s="20" t="s">
        <v>99</v>
      </c>
      <c r="B6" s="10" t="s">
        <v>3</v>
      </c>
      <c r="C6" s="39"/>
      <c r="D6" s="6">
        <v>2600</v>
      </c>
      <c r="E6" s="37"/>
      <c r="F6" s="16">
        <v>2561</v>
      </c>
      <c r="G6" s="30">
        <v>95.96</v>
      </c>
      <c r="H6" s="3">
        <f t="shared" si="0"/>
        <v>98.5</v>
      </c>
      <c r="I6" s="3">
        <f>IFERROR(IF(((F6/$E$3)/(D6/$C$3)*100)&gt;100,100,((F6/$E$3)/(D6/$C$3)*100)),0)</f>
        <v>86.007860348708149</v>
      </c>
      <c r="J6" s="3">
        <f>IFERROR(IF(((($C$3/D6)-($E$3/F6))/($E$3/F6)+1)*100&gt;100,100,((($C$3/D6)-($E$3/F6))/($E$3/F6)+1)*100),0)</f>
        <v>86.007860348708149</v>
      </c>
      <c r="K6" s="62"/>
      <c r="L6" s="56"/>
    </row>
    <row r="7" spans="1:12" ht="16.5" customHeight="1" x14ac:dyDescent="0.25">
      <c r="A7" s="20" t="s">
        <v>81</v>
      </c>
      <c r="B7" s="10" t="s">
        <v>4</v>
      </c>
      <c r="C7" s="39">
        <v>1401005.53</v>
      </c>
      <c r="D7" s="6">
        <v>180</v>
      </c>
      <c r="E7" s="37">
        <v>1074877.32</v>
      </c>
      <c r="F7" s="16">
        <v>158</v>
      </c>
      <c r="G7" s="30">
        <v>100</v>
      </c>
      <c r="H7" s="3">
        <f t="shared" si="0"/>
        <v>87.777777777777771</v>
      </c>
      <c r="I7" s="3">
        <f>IFERROR(IF(((F7/$E$7)/(D7/$C$7)*100)&gt;100,100,((F7/$E$7)/(D7/$C$7)*100)),0)</f>
        <v>100</v>
      </c>
      <c r="J7" s="3">
        <f>IFERROR(IF(((($C$7/D7)-($E$7/F7))/($E$7/F7)+1)*100&gt;100,100,((($C$7/D7)-($E$7/F7))/($E$7/F7)+1)*100),0)</f>
        <v>100</v>
      </c>
      <c r="K7" s="62"/>
      <c r="L7" s="56"/>
    </row>
    <row r="8" spans="1:12" ht="16.5" customHeight="1" x14ac:dyDescent="0.25">
      <c r="A8" s="20" t="s">
        <v>38</v>
      </c>
      <c r="B8" s="10" t="s">
        <v>5</v>
      </c>
      <c r="C8" s="39"/>
      <c r="D8" s="12"/>
      <c r="E8" s="37"/>
      <c r="F8" s="21"/>
      <c r="G8" s="11"/>
      <c r="H8" s="11"/>
      <c r="I8" s="11"/>
      <c r="J8" s="11"/>
      <c r="K8" s="62"/>
      <c r="L8" s="56"/>
    </row>
    <row r="9" spans="1:12" ht="16.5" customHeight="1" x14ac:dyDescent="0.25">
      <c r="A9" s="20" t="s">
        <v>48</v>
      </c>
      <c r="B9" s="10" t="s">
        <v>6</v>
      </c>
      <c r="C9" s="39"/>
      <c r="D9" s="6">
        <v>2220</v>
      </c>
      <c r="E9" s="37"/>
      <c r="F9" s="16">
        <v>2670</v>
      </c>
      <c r="G9" s="30">
        <v>98.17</v>
      </c>
      <c r="H9" s="3">
        <f t="shared" si="0"/>
        <v>100</v>
      </c>
      <c r="I9" s="3">
        <f>IFERROR(IF(((F9/$E$7)/(D9/$C$7)*100)&gt;100,100,((F9/$E$7)/(D9/$C$7)*100)),0)</f>
        <v>100</v>
      </c>
      <c r="J9" s="3">
        <f>IFERROR(IF(((($C$7/D9)-($E$7/F9))/($E$7/F9)+1)*100&gt;100,100,((($C$7/D9)-($E$7/F9))/($E$7/F9)+1)*100),0)</f>
        <v>100</v>
      </c>
      <c r="K9" s="62"/>
      <c r="L9" s="56"/>
    </row>
    <row r="10" spans="1:12" ht="16.5" customHeight="1" x14ac:dyDescent="0.25">
      <c r="A10" s="20" t="s">
        <v>102</v>
      </c>
      <c r="B10" s="10" t="s">
        <v>7</v>
      </c>
      <c r="C10" s="39">
        <v>1595163</v>
      </c>
      <c r="D10" s="6">
        <v>90</v>
      </c>
      <c r="E10" s="37">
        <v>2210593.19</v>
      </c>
      <c r="F10" s="16">
        <v>45</v>
      </c>
      <c r="G10" s="30">
        <v>88.89</v>
      </c>
      <c r="H10" s="3">
        <f>IFERROR(IF((F10/D10*100)&gt;100,100,(F10/D10*100)),0)</f>
        <v>50</v>
      </c>
      <c r="I10" s="3">
        <f>IFERROR(IF(((F10/$E$10)/(D10/$C$10)*100)&gt;100,100,((F10/$E$10)/(D10/$C$10)*100)),0)</f>
        <v>36.079976343363299</v>
      </c>
      <c r="J10" s="3">
        <f>IFERROR(IF(((($C$10/D10)-($E$10/F10))/($E$10/F10)+1)*100&gt;100,100,((($C$10/D10)-($E$10/F10))/($E$10/F10)+1)*100),0)</f>
        <v>36.079976343363299</v>
      </c>
      <c r="K10" s="62"/>
      <c r="L10" s="56"/>
    </row>
    <row r="11" spans="1:12" ht="16.5" customHeight="1" x14ac:dyDescent="0.25">
      <c r="A11" s="20" t="s">
        <v>103</v>
      </c>
      <c r="B11" s="10" t="s">
        <v>8</v>
      </c>
      <c r="C11" s="39"/>
      <c r="D11" s="6">
        <v>1856</v>
      </c>
      <c r="E11" s="37"/>
      <c r="F11" s="16">
        <v>1929</v>
      </c>
      <c r="G11" s="30">
        <v>97.25</v>
      </c>
      <c r="H11" s="3">
        <f>IFERROR(IF((F11/D11*100)&gt;100,100,(F11/D11*100)),0)</f>
        <v>100</v>
      </c>
      <c r="I11" s="3">
        <f>IFERROR(IF(((F11/$E$10)/(D11/$C$10)*100)&gt;100,100,((F11/$E$10)/(D11/$C$10)*100)),0)</f>
        <v>74.998140480978222</v>
      </c>
      <c r="J11" s="3">
        <f>IFERROR(IF(((($C$10/D11)-($E$10/F11))/($E$10/F11)+1)*100&gt;100,100,((($C$10/D11)-($E$10/F11))/($E$10/F11)+1)*100),0)</f>
        <v>74.998140480978236</v>
      </c>
      <c r="K11" s="62"/>
      <c r="L11" s="56"/>
    </row>
    <row r="12" spans="1:12" ht="16.5" customHeight="1" x14ac:dyDescent="0.25">
      <c r="A12" s="20" t="s">
        <v>39</v>
      </c>
      <c r="B12" s="10" t="s">
        <v>9</v>
      </c>
      <c r="C12" s="39">
        <v>1371938</v>
      </c>
      <c r="D12" s="12"/>
      <c r="E12" s="37">
        <v>1113082.3700000001</v>
      </c>
      <c r="F12" s="21"/>
      <c r="G12" s="11"/>
      <c r="H12" s="11"/>
      <c r="I12" s="11"/>
      <c r="J12" s="11"/>
      <c r="K12" s="62"/>
      <c r="L12" s="56"/>
    </row>
    <row r="13" spans="1:12" ht="16.5" customHeight="1" x14ac:dyDescent="0.25">
      <c r="A13" s="20" t="s">
        <v>50</v>
      </c>
      <c r="B13" s="10" t="s">
        <v>11</v>
      </c>
      <c r="C13" s="39"/>
      <c r="D13" s="6">
        <v>1740</v>
      </c>
      <c r="E13" s="37"/>
      <c r="F13" s="16">
        <v>1768</v>
      </c>
      <c r="G13" s="30">
        <v>97.04</v>
      </c>
      <c r="H13" s="3">
        <f t="shared" si="0"/>
        <v>100</v>
      </c>
      <c r="I13" s="3">
        <f>IFERROR(IF(((F13/$E$12)/(D13/$C$12)*100)&gt;100,100,((F13/$E$12)/(D13/$C$12)*100)),0)</f>
        <v>100</v>
      </c>
      <c r="J13" s="3">
        <f>IFERROR(IF(((($C$12/D13)-($E$12/F13))/($E$12/F13)+1)*100&gt;100,100,((($C$12/D13)-($E$12/F13))/($E$12/F13)+1)*100),0)</f>
        <v>100</v>
      </c>
      <c r="K13" s="62"/>
      <c r="L13" s="56"/>
    </row>
    <row r="14" spans="1:12" ht="16.5" customHeight="1" x14ac:dyDescent="0.25">
      <c r="A14" s="20" t="s">
        <v>41</v>
      </c>
      <c r="B14" s="10" t="s">
        <v>12</v>
      </c>
      <c r="C14" s="2">
        <v>4773450</v>
      </c>
      <c r="D14" s="6">
        <v>2700</v>
      </c>
      <c r="E14" s="23">
        <v>2012946.46</v>
      </c>
      <c r="F14" s="16">
        <v>3731</v>
      </c>
      <c r="G14" s="30">
        <v>98.12</v>
      </c>
      <c r="H14" s="3">
        <f t="shared" si="0"/>
        <v>100</v>
      </c>
      <c r="I14" s="3">
        <f>IFERROR(IF(((F14/$E$14)/(D14/$C$14)*100)&gt;100,100,((F14/$E$14)/(D14/$C$14)*100)),0)</f>
        <v>100</v>
      </c>
      <c r="J14" s="3">
        <f>IFERROR(IF(((($C$14/D14)-($E$14/F14))/($E$14/F14)+1)*100&gt;100,100,((($C$14/D14)-($E$14/F14))/($E$14/F14)+1)*100),0)</f>
        <v>100</v>
      </c>
      <c r="K14" s="62"/>
      <c r="L14" s="56"/>
    </row>
    <row r="15" spans="1:12" ht="16.5" customHeight="1" x14ac:dyDescent="0.25">
      <c r="A15" s="20" t="s">
        <v>42</v>
      </c>
      <c r="B15" s="10" t="s">
        <v>14</v>
      </c>
      <c r="C15" s="2">
        <v>905304</v>
      </c>
      <c r="D15" s="6">
        <v>900</v>
      </c>
      <c r="E15" s="23">
        <v>942431.52</v>
      </c>
      <c r="F15" s="16">
        <v>937</v>
      </c>
      <c r="G15" s="30">
        <v>99.2</v>
      </c>
      <c r="H15" s="3">
        <f t="shared" si="0"/>
        <v>100</v>
      </c>
      <c r="I15" s="3">
        <f>IFERROR(IF(((F15/$E$15)/(D15/$C$15)*100)&gt;100,100,((F15/$E$15)/(D15/$C$15)*100)),0)</f>
        <v>100</v>
      </c>
      <c r="J15" s="3">
        <f>IFERROR(IF(((($C$15/D15)-($E$15/F15))/($E$15/F15)+1)*100&gt;100,100,((($C$15/D15)-($E$15/F15))/($E$15/F15)+1)*100),0)</f>
        <v>100</v>
      </c>
      <c r="K15" s="62"/>
      <c r="L15" s="56"/>
    </row>
    <row r="16" spans="1:12" ht="16.5" customHeight="1" x14ac:dyDescent="0.25">
      <c r="A16" s="20" t="s">
        <v>10</v>
      </c>
      <c r="B16" s="10" t="s">
        <v>15</v>
      </c>
      <c r="C16" s="2">
        <v>80438472</v>
      </c>
      <c r="D16" s="6">
        <v>84000</v>
      </c>
      <c r="E16" s="23">
        <v>75741249.519999996</v>
      </c>
      <c r="F16" s="16">
        <v>90882</v>
      </c>
      <c r="G16" s="30">
        <v>93.75</v>
      </c>
      <c r="H16" s="3">
        <f t="shared" si="0"/>
        <v>100</v>
      </c>
      <c r="I16" s="3">
        <f>IFERROR(IF(((F16/$E$16)/(D16/$C$16)*100)&gt;100,100,((F16/$E$16)/(D16/$C$16)*100)),0)</f>
        <v>100</v>
      </c>
      <c r="J16" s="3">
        <f>IFERROR(IF(((($C$16/D16)-($E$16/F16))/($E$16/F16)+1)*100&gt;100,100,((($C$16/D16)-($E$16/F16))/($E$16/F16)+1)*100),0)</f>
        <v>100</v>
      </c>
      <c r="K16" s="62"/>
      <c r="L16" s="56"/>
    </row>
    <row r="17" spans="1:12" ht="16.5" customHeight="1" x14ac:dyDescent="0.25">
      <c r="A17" s="20" t="s">
        <v>100</v>
      </c>
      <c r="B17" s="10" t="s">
        <v>16</v>
      </c>
      <c r="C17" s="2">
        <v>1180199</v>
      </c>
      <c r="D17" s="6">
        <v>84</v>
      </c>
      <c r="E17" s="23">
        <v>1653546.45</v>
      </c>
      <c r="F17" s="16">
        <v>105</v>
      </c>
      <c r="G17" s="30">
        <v>100</v>
      </c>
      <c r="H17" s="3">
        <f t="shared" si="0"/>
        <v>100</v>
      </c>
      <c r="I17" s="3">
        <f>IFERROR(IF(((F17/$E$17)/(D17/$C$17)*100)&gt;100,100,((F17/$E$17)/(D17/$C$17)*100)),0)</f>
        <v>89.217254828251129</v>
      </c>
      <c r="J17" s="3">
        <f>IFERROR(IF(((($C$17/D17)-($E$17/F17))/($E$17/F17)+1)*100&gt;100,100,((($C$17/D17)-($E$17/F17))/($E$17/F17)+1)*100),0)</f>
        <v>89.217254828251129</v>
      </c>
      <c r="K17" s="62"/>
      <c r="L17" s="56"/>
    </row>
    <row r="18" spans="1:12" ht="16.5" customHeight="1" x14ac:dyDescent="0.25">
      <c r="A18" s="20" t="s">
        <v>17</v>
      </c>
      <c r="B18" s="10" t="s">
        <v>18</v>
      </c>
      <c r="C18" s="2">
        <v>2135609</v>
      </c>
      <c r="D18" s="6">
        <v>2070</v>
      </c>
      <c r="E18" s="23">
        <v>1929993.52</v>
      </c>
      <c r="F18" s="16">
        <v>2534</v>
      </c>
      <c r="G18" s="30">
        <v>99.62</v>
      </c>
      <c r="H18" s="3">
        <f t="shared" si="0"/>
        <v>100</v>
      </c>
      <c r="I18" s="3">
        <f>IFERROR(IF(((F18/$E$18)/(D18/$C$18)*100)&gt;100,100,((F18/$E$18)/(D18/$C$18)*100)),0)</f>
        <v>100</v>
      </c>
      <c r="J18" s="3">
        <f>IFERROR(IF(((($C$18/D18)-($E$18/F18))/($E$18/F18)+1)*100&gt;100,100,((($C$18/D18)-($E$18/F18))/($E$18/F18)+1)*100),0)</f>
        <v>100</v>
      </c>
      <c r="K18" s="63"/>
      <c r="L18" s="56"/>
    </row>
    <row r="19" spans="1:12" ht="16.5" customHeight="1" x14ac:dyDescent="0.25">
      <c r="A19" s="38" t="s">
        <v>65</v>
      </c>
      <c r="B19" s="38"/>
      <c r="C19" s="38"/>
      <c r="D19" s="38"/>
      <c r="E19" s="38"/>
      <c r="F19" s="38"/>
      <c r="G19" s="14">
        <f>IFERROR(AVERAGEIF(G3:G18,"&gt;0"),0)</f>
        <v>94.857142857142861</v>
      </c>
      <c r="H19" s="14">
        <f t="shared" ref="H19:J19" si="1">IFERROR(AVERAGEIF(H3:H18,"&gt;0"),0)</f>
        <v>94.690086980065658</v>
      </c>
      <c r="I19" s="14">
        <f t="shared" si="1"/>
        <v>88.706897541563194</v>
      </c>
      <c r="J19" s="14">
        <f t="shared" si="1"/>
        <v>88.706897541563194</v>
      </c>
      <c r="K19" s="9">
        <f>IF(((G19*0.2+H19*0.35+I19*0.3+J19*0.15))=0,"",((G19*0.2+H19*0.35+I19*0.3+J19*0.15)))</f>
        <v>92.031062908154993</v>
      </c>
      <c r="L19" s="56"/>
    </row>
    <row r="20" spans="1:12" ht="16.5" customHeight="1" x14ac:dyDescent="0.25">
      <c r="A20" s="20" t="s">
        <v>59</v>
      </c>
      <c r="B20" s="10" t="s">
        <v>19</v>
      </c>
      <c r="C20" s="2">
        <v>639743</v>
      </c>
      <c r="D20" s="6">
        <v>300</v>
      </c>
      <c r="E20" s="23">
        <v>644495.16</v>
      </c>
      <c r="F20" s="16">
        <v>515</v>
      </c>
      <c r="G20" s="30">
        <v>97.54</v>
      </c>
      <c r="H20" s="3">
        <f t="shared" si="0"/>
        <v>100</v>
      </c>
      <c r="I20" s="3">
        <f>IFERROR(IF(((F20/$E$20)/(D20/$C$20)*100)&gt;100,100,((F20/$E$20)/(D20/$C$20)*100)),0)</f>
        <v>100</v>
      </c>
      <c r="J20" s="3">
        <f>IFERROR(IF(((($C$20/D20)-($E$20/F20))/($E$20/F20)+1)*100&gt;100,100,((($C$20/D20)-($E$20/F20))/($E$20/F20)+1)*100),0)</f>
        <v>100</v>
      </c>
      <c r="K20" s="61"/>
      <c r="L20" s="56"/>
    </row>
    <row r="21" spans="1:12" ht="16.5" customHeight="1" x14ac:dyDescent="0.25">
      <c r="A21" s="20" t="s">
        <v>45</v>
      </c>
      <c r="B21" s="10" t="s">
        <v>20</v>
      </c>
      <c r="C21" s="2">
        <v>20115233</v>
      </c>
      <c r="D21" s="6">
        <v>360</v>
      </c>
      <c r="E21" s="23">
        <v>18594434.210000001</v>
      </c>
      <c r="F21" s="16">
        <v>795</v>
      </c>
      <c r="G21" s="30">
        <v>99.49</v>
      </c>
      <c r="H21" s="3">
        <f t="shared" si="0"/>
        <v>100</v>
      </c>
      <c r="I21" s="3">
        <f>IFERROR(IF(((F21/$E$21)/(D21/$C$21)*100)&gt;100,100,((F21/$E$21)/(D21/$C$21)*100)),0)</f>
        <v>100</v>
      </c>
      <c r="J21" s="3">
        <f>IFERROR(IF(((($C$21/D21)-($E$21/F21))/($E$21/F21)+1)*100&gt;100,100,((($C$21/D21)-($E$21/F21))/($E$21/F21)+1)*100),0)</f>
        <v>100</v>
      </c>
      <c r="K21" s="62"/>
      <c r="L21" s="56"/>
    </row>
    <row r="22" spans="1:12" ht="16.5" customHeight="1" x14ac:dyDescent="0.25">
      <c r="A22" s="20" t="s">
        <v>79</v>
      </c>
      <c r="B22" s="10" t="s">
        <v>21</v>
      </c>
      <c r="C22" s="2">
        <v>1351281</v>
      </c>
      <c r="D22" s="6">
        <v>560</v>
      </c>
      <c r="E22" s="23">
        <v>1034889.25</v>
      </c>
      <c r="F22" s="16">
        <v>780</v>
      </c>
      <c r="G22" s="30">
        <v>98.4</v>
      </c>
      <c r="H22" s="3">
        <f t="shared" si="0"/>
        <v>100</v>
      </c>
      <c r="I22" s="3">
        <f>IFERROR(IF(((F22/$E$22)/(D22/$C$22)*100)&gt;100,100,((F22/$E$22)/(D22/$C$22)*100)),0)</f>
        <v>100</v>
      </c>
      <c r="J22" s="3">
        <f>IFERROR(IF(((($C$22/D22)-($E$22/F22))/($E$22/F22)+1)*100&gt;100,100,((($C$22/D22)-($E$22/F22))/($E$22/F22)+1)*100),0)</f>
        <v>100</v>
      </c>
      <c r="K22" s="62"/>
      <c r="L22" s="56"/>
    </row>
    <row r="23" spans="1:12" ht="16.5" customHeight="1" x14ac:dyDescent="0.25">
      <c r="A23" s="20" t="s">
        <v>101</v>
      </c>
      <c r="B23" s="10" t="s">
        <v>22</v>
      </c>
      <c r="C23" s="2">
        <v>18766822</v>
      </c>
      <c r="D23" s="6">
        <v>2118362</v>
      </c>
      <c r="E23" s="23">
        <v>21099428.41</v>
      </c>
      <c r="F23" s="16">
        <v>2037500</v>
      </c>
      <c r="G23" s="30">
        <v>91.46</v>
      </c>
      <c r="H23" s="3">
        <f t="shared" si="0"/>
        <v>96.182805393978938</v>
      </c>
      <c r="I23" s="3">
        <f>IFERROR(IF(((F23/$E$23)/(D23/$C$23)*100)&gt;100,100,((F23/$E$23)/(D23/$C$23)*100)),0)</f>
        <v>85.54950177863337</v>
      </c>
      <c r="J23" s="3">
        <f>IFERROR(IF(((($C$23/D23)-($E$23/F23))/($E$23/F23)+1)*100&gt;100,100,((($C$23/D23)-($E$23/F23))/($E$23/F23)+1)*100),0)</f>
        <v>85.54950177863337</v>
      </c>
      <c r="K23" s="62"/>
      <c r="L23" s="56"/>
    </row>
    <row r="24" spans="1:12" ht="16.5" customHeight="1" x14ac:dyDescent="0.25">
      <c r="A24" s="20" t="s">
        <v>105</v>
      </c>
      <c r="B24" s="10" t="s">
        <v>23</v>
      </c>
      <c r="C24" s="2">
        <v>1680223</v>
      </c>
      <c r="D24" s="6">
        <v>300000</v>
      </c>
      <c r="E24" s="23">
        <v>1993223.09</v>
      </c>
      <c r="F24" s="16">
        <v>309230</v>
      </c>
      <c r="G24" s="30">
        <v>94.1</v>
      </c>
      <c r="H24" s="3">
        <f t="shared" si="0"/>
        <v>100</v>
      </c>
      <c r="I24" s="3">
        <f>IFERROR(IF(((F24/$E$24)/(D24/$C$24)*100)&gt;100,100,((F24/$E$24)/(D24/$C$24)*100)),0)</f>
        <v>86.890316977346799</v>
      </c>
      <c r="J24" s="3">
        <f>IFERROR(IF(((($C$24/D24)-($E$24/F24))/($E$24/F24)+1)*100&gt;100,100,((($C$24/D24)-($E$24/F24))/($E$24/F24)+1)*100),0)</f>
        <v>86.890316977346799</v>
      </c>
      <c r="K24" s="63"/>
      <c r="L24" s="56"/>
    </row>
    <row r="25" spans="1:12" ht="16.5" customHeight="1" x14ac:dyDescent="0.25">
      <c r="A25" s="38" t="s">
        <v>64</v>
      </c>
      <c r="B25" s="38"/>
      <c r="C25" s="38"/>
      <c r="D25" s="38"/>
      <c r="E25" s="38"/>
      <c r="F25" s="38"/>
      <c r="G25" s="14">
        <f>IFERROR(AVERAGEIF(G20:G24,"&gt;0"),0)</f>
        <v>96.198000000000008</v>
      </c>
      <c r="H25" s="14">
        <f t="shared" ref="H25:J25" si="2">IFERROR(AVERAGEIF(H20:H24,"&gt;0"),0)</f>
        <v>99.236561078795788</v>
      </c>
      <c r="I25" s="14">
        <f t="shared" si="2"/>
        <v>94.487963751196034</v>
      </c>
      <c r="J25" s="14">
        <f t="shared" si="2"/>
        <v>94.487963751196034</v>
      </c>
      <c r="K25" s="9">
        <f>IF(((G25*0.2+H25*0.35+I25*0.3+J25*0.15))=0,"",((G25*0.2+H25*0.35+I25*0.3+J25*0.15)))</f>
        <v>96.49198006561673</v>
      </c>
      <c r="L25" s="56"/>
    </row>
    <row r="26" spans="1:12" ht="16.5" customHeight="1" x14ac:dyDescent="0.25">
      <c r="A26" s="20" t="s">
        <v>60</v>
      </c>
      <c r="B26" s="10" t="s">
        <v>24</v>
      </c>
      <c r="C26" s="2">
        <v>20115233</v>
      </c>
      <c r="D26" s="6">
        <v>115225</v>
      </c>
      <c r="E26" s="23">
        <v>18594434.210000001</v>
      </c>
      <c r="F26" s="16">
        <v>108427</v>
      </c>
      <c r="G26" s="30">
        <v>98.52</v>
      </c>
      <c r="H26" s="3">
        <f t="shared" si="0"/>
        <v>94.10023866348449</v>
      </c>
      <c r="I26" s="3">
        <f>IFERROR(IF(((F26/$E$26)/(D26/$C$26)*100)&gt;100,100,((F26/$E$26)/(D26/$C$26)*100)),0)</f>
        <v>100</v>
      </c>
      <c r="J26" s="3">
        <f>IFERROR(IF(((($C$26/D26)-($E$26/F26))/($E$26/F26)+1)*100&gt;100,100,((($C$26/D26)-($E$26/F26))/($E$26/F26)+1)*100),0)</f>
        <v>100</v>
      </c>
      <c r="K26" s="9"/>
      <c r="L26" s="56"/>
    </row>
    <row r="27" spans="1:12" ht="16.5" customHeight="1" x14ac:dyDescent="0.25">
      <c r="A27" s="38" t="s">
        <v>66</v>
      </c>
      <c r="B27" s="38"/>
      <c r="C27" s="38"/>
      <c r="D27" s="38"/>
      <c r="E27" s="38"/>
      <c r="F27" s="38"/>
      <c r="G27" s="14">
        <f>IFERROR(AVERAGEIF(G26,"&gt;0"),0)</f>
        <v>98.52</v>
      </c>
      <c r="H27" s="14">
        <f t="shared" ref="H27:J27" si="3">IFERROR(AVERAGEIF(H26,"&gt;0"),0)</f>
        <v>94.10023866348449</v>
      </c>
      <c r="I27" s="14">
        <f t="shared" si="3"/>
        <v>100</v>
      </c>
      <c r="J27" s="14">
        <f t="shared" si="3"/>
        <v>100</v>
      </c>
      <c r="K27" s="9">
        <f>IF(((G27*0.2+H27*0.35+I27*0.3+J27*0.15))=0,"",((G27*0.2+H27*0.35+I27*0.3+J27*0.15)))</f>
        <v>97.639083532219573</v>
      </c>
      <c r="L27" s="56"/>
    </row>
    <row r="28" spans="1:12" ht="16.5" customHeight="1" x14ac:dyDescent="0.25">
      <c r="A28" s="20" t="s">
        <v>46</v>
      </c>
      <c r="B28" s="10" t="s">
        <v>25</v>
      </c>
      <c r="C28" s="40">
        <v>639743</v>
      </c>
      <c r="D28" s="6">
        <v>900</v>
      </c>
      <c r="E28" s="42">
        <v>644495.16</v>
      </c>
      <c r="F28" s="16">
        <v>1632</v>
      </c>
      <c r="G28" s="30">
        <v>99.32</v>
      </c>
      <c r="H28" s="3">
        <f>IFERROR(IF((F28/D28*100)&gt;100,100,(F28/D28*100)),0)</f>
        <v>100</v>
      </c>
      <c r="I28" s="3">
        <f>IFERROR(IF(((F28/$E$28)/(D28/$C$28)*100)&gt;100,100,((F28/$E$28)/(D28/$C$28)*100)),0)</f>
        <v>100</v>
      </c>
      <c r="J28" s="3">
        <f>IFERROR(IF(((($C$28/D28)-($E$28/F28))/($E$28/F28)+1)*100&gt;100,100,((($C$28/D28)-($E$28/F28))/($E$28/F28)+1)*100),0)</f>
        <v>100</v>
      </c>
      <c r="K28" s="61"/>
      <c r="L28" s="56"/>
    </row>
    <row r="29" spans="1:12" ht="16.5" customHeight="1" x14ac:dyDescent="0.25">
      <c r="A29" s="20" t="s">
        <v>51</v>
      </c>
      <c r="B29" s="10" t="s">
        <v>26</v>
      </c>
      <c r="C29" s="41"/>
      <c r="D29" s="6">
        <v>37</v>
      </c>
      <c r="E29" s="43"/>
      <c r="F29" s="16">
        <v>70</v>
      </c>
      <c r="G29" s="30">
        <v>97.42</v>
      </c>
      <c r="H29" s="3">
        <f>IFERROR(IF((F29/D29*100)&gt;100,100,(F29/D29*100)),0)</f>
        <v>100</v>
      </c>
      <c r="I29" s="3">
        <f>IFERROR(IF(((F29/$E$28)/(D29/$C$28)*100)&gt;100,100,((F29/$E$29)/(D29/$C$29)*100)),0)</f>
        <v>100</v>
      </c>
      <c r="J29" s="3">
        <f>IFERROR(IF(((($C$28/D29)-($E$28/F29))/($E$28/F29)+1)*100&gt;100,100,((($C$28/D29)-($E$28/F29))/($E$28/F29)+1)*100),0)</f>
        <v>100</v>
      </c>
      <c r="K29" s="62"/>
      <c r="L29" s="56"/>
    </row>
    <row r="30" spans="1:12" ht="16.5" customHeight="1" x14ac:dyDescent="0.25">
      <c r="A30" s="20" t="s">
        <v>52</v>
      </c>
      <c r="B30" s="10" t="s">
        <v>27</v>
      </c>
      <c r="C30" s="39">
        <v>887525</v>
      </c>
      <c r="D30" s="12"/>
      <c r="E30" s="37">
        <v>255927.7</v>
      </c>
      <c r="F30" s="21"/>
      <c r="G30" s="11"/>
      <c r="H30" s="11"/>
      <c r="I30" s="11"/>
      <c r="J30" s="11"/>
      <c r="K30" s="62"/>
      <c r="L30" s="56"/>
    </row>
    <row r="31" spans="1:12" ht="16.5" customHeight="1" x14ac:dyDescent="0.25">
      <c r="A31" s="20" t="s">
        <v>53</v>
      </c>
      <c r="B31" s="10" t="s">
        <v>28</v>
      </c>
      <c r="C31" s="39"/>
      <c r="D31" s="6">
        <v>30000</v>
      </c>
      <c r="E31" s="37"/>
      <c r="F31" s="16">
        <v>32500</v>
      </c>
      <c r="G31" s="30">
        <v>97.2</v>
      </c>
      <c r="H31" s="3">
        <f t="shared" si="0"/>
        <v>100</v>
      </c>
      <c r="I31" s="3">
        <f>IFERROR(IF(((F31/$E$30)/(D31/$C$30)*100)&gt;100,100,((F31/$E$30)/(D31/$C$30)*100)),0)</f>
        <v>100</v>
      </c>
      <c r="J31" s="3">
        <f>IFERROR(IF(((($C$30/D31)-($E$30/F31))/($E$30/F31)+1)*100&gt;100,100,((($C$30/D31)-($E$30/F31))/($E$30/F31)+1)*100),0)</f>
        <v>100</v>
      </c>
      <c r="K31" s="62"/>
      <c r="L31" s="56"/>
    </row>
    <row r="32" spans="1:12" ht="16.5" customHeight="1" x14ac:dyDescent="0.25">
      <c r="A32" s="20" t="s">
        <v>54</v>
      </c>
      <c r="B32" s="10" t="s">
        <v>43</v>
      </c>
      <c r="C32" s="39">
        <v>56854759</v>
      </c>
      <c r="D32" s="6">
        <v>525000</v>
      </c>
      <c r="E32" s="37">
        <v>47434782.780000001</v>
      </c>
      <c r="F32" s="16">
        <v>537474</v>
      </c>
      <c r="G32" s="30">
        <v>93</v>
      </c>
      <c r="H32" s="3">
        <f t="shared" si="0"/>
        <v>100</v>
      </c>
      <c r="I32" s="3">
        <f>IFERROR(IF(((F32/$E$32)/(D32/$C$32)*100)&gt;100,100,((F32/$E$32)/(D32/$C$32)*100)),0)</f>
        <v>100</v>
      </c>
      <c r="J32" s="3">
        <f>IFERROR(IF(((($C$32/D32)-($E$32/F32))/($E$32/F32)+1)*100&gt;100,100,((($C$32/D32)-($E$32/F32))/($E$32/F32)+1)*100),0)</f>
        <v>100</v>
      </c>
      <c r="K32" s="62"/>
      <c r="L32" s="56"/>
    </row>
    <row r="33" spans="1:12" ht="16.5" customHeight="1" x14ac:dyDescent="0.25">
      <c r="A33" s="20" t="s">
        <v>55</v>
      </c>
      <c r="B33" s="10" t="s">
        <v>44</v>
      </c>
      <c r="C33" s="39"/>
      <c r="D33" s="6">
        <v>750000</v>
      </c>
      <c r="E33" s="37"/>
      <c r="F33" s="16">
        <v>1518000</v>
      </c>
      <c r="G33" s="30">
        <v>93.8</v>
      </c>
      <c r="H33" s="3">
        <f t="shared" si="0"/>
        <v>100</v>
      </c>
      <c r="I33" s="3">
        <f>IFERROR(IF(((F33/$E$32)/(D33/$C$32)*100)&gt;100,100,((F33/$E$32)/(D33/$C$32)*100)),0)</f>
        <v>100</v>
      </c>
      <c r="J33" s="3">
        <f>IFERROR(IF(((($C$32/D33)-($E$32/F33))/($E$32/F33)+1)*100&gt;100,100,((($C$32/D33)-($E$32/F33))/($E$32/F33)+1)*100),0)</f>
        <v>100</v>
      </c>
      <c r="K33" s="63"/>
      <c r="L33" s="56"/>
    </row>
    <row r="34" spans="1:12" ht="27" customHeight="1" x14ac:dyDescent="0.25">
      <c r="A34" s="38" t="s">
        <v>80</v>
      </c>
      <c r="B34" s="38"/>
      <c r="C34" s="38"/>
      <c r="D34" s="38"/>
      <c r="E34" s="38"/>
      <c r="F34" s="38"/>
      <c r="G34" s="14">
        <f>IFERROR(AVERAGEIF(G28:G33,"&gt;0"),0)</f>
        <v>96.147999999999996</v>
      </c>
      <c r="H34" s="14">
        <f>IFERROR(AVERAGEIF(H28:H33,"&gt;0"),0)</f>
        <v>100</v>
      </c>
      <c r="I34" s="14">
        <f>IFERROR(AVERAGEIF(I28:I33,"&gt;0"),0)</f>
        <v>100</v>
      </c>
      <c r="J34" s="14">
        <f t="shared" ref="J34" si="4">IFERROR(AVERAGEIF(J28:J33,"&gt;0"),0)</f>
        <v>100</v>
      </c>
      <c r="K34" s="9">
        <f>IF(((G34*0.2+H34*0.35+I34*0.3+J34*0.15))=0,"",((G34*0.2+H34*0.35+I34*0.3+J34*0.15)))</f>
        <v>99.229600000000005</v>
      </c>
      <c r="L34" s="57"/>
    </row>
    <row r="35" spans="1:12" ht="16.5" customHeight="1" x14ac:dyDescent="0.25">
      <c r="A35" s="52" t="s">
        <v>90</v>
      </c>
      <c r="B35" s="53"/>
      <c r="C35" s="53"/>
      <c r="D35" s="53"/>
      <c r="E35" s="53"/>
      <c r="F35" s="53"/>
      <c r="G35" s="53"/>
      <c r="H35" s="53"/>
      <c r="I35" s="53"/>
      <c r="J35" s="54"/>
      <c r="K35" s="9">
        <f>IFERROR(AVERAGEIF((K3:K34),"&gt;0"),0)</f>
        <v>96.347931626497825</v>
      </c>
      <c r="L35" s="25">
        <f>IF(K35&lt;10,0,IF(K35&lt;20,1,IF(K35&lt;30,2,IF(K35&lt;40,3,IF(K35&lt;50,4,IF(K35&lt;60,5,IF(K35&lt;70,6,IF(K35&lt;80,7,IF(K35&lt;90,8,IF(K35&lt;100,9,10))))))))))</f>
        <v>9</v>
      </c>
    </row>
    <row r="36" spans="1:12" ht="25.5" customHeight="1" x14ac:dyDescent="0.25">
      <c r="A36" s="58" t="s">
        <v>63</v>
      </c>
      <c r="B36" s="58"/>
      <c r="C36" s="58"/>
      <c r="D36" s="58"/>
      <c r="E36" s="58"/>
      <c r="F36" s="58"/>
      <c r="G36" s="58"/>
      <c r="H36" s="58"/>
      <c r="I36" s="58"/>
      <c r="J36" s="58"/>
      <c r="K36" s="58"/>
      <c r="L36" s="4"/>
    </row>
    <row r="37" spans="1:12" ht="16.5" customHeight="1" x14ac:dyDescent="0.25">
      <c r="A37" s="59" t="s">
        <v>31</v>
      </c>
      <c r="B37" s="60"/>
      <c r="C37" s="17">
        <f>SUM(C3:C18,C20,C21,C22:C24,C30,C32)</f>
        <v>200446573.53</v>
      </c>
      <c r="D37" s="18">
        <f>SUM(D3:D18,D20:D24,D26,D28:D33)</f>
        <v>3939934</v>
      </c>
      <c r="E37" s="17">
        <f>SUM(E3:E18,E20,E21,E22:E24,E30,E32)</f>
        <v>185008026.16</v>
      </c>
      <c r="F37" s="18">
        <f>SUM(F3:F18,F20:F24,F26,F28:F33)</f>
        <v>4654980</v>
      </c>
      <c r="K37" s="26"/>
    </row>
    <row r="39" spans="1:12" ht="25.5" customHeight="1" x14ac:dyDescent="0.25">
      <c r="A39" s="44" t="s">
        <v>95</v>
      </c>
      <c r="B39" s="45"/>
      <c r="C39" s="45"/>
      <c r="D39" s="45"/>
      <c r="E39" s="45"/>
      <c r="F39" s="45"/>
      <c r="G39" s="45"/>
      <c r="H39" s="45"/>
      <c r="I39" s="45"/>
      <c r="J39" s="45"/>
      <c r="K39" s="45"/>
      <c r="L39" s="46"/>
    </row>
    <row r="40" spans="1:12" ht="48" customHeight="1" x14ac:dyDescent="0.25">
      <c r="A40" s="47" t="s">
        <v>104</v>
      </c>
      <c r="B40" s="48"/>
      <c r="C40" s="48"/>
      <c r="D40" s="48"/>
      <c r="E40" s="48"/>
      <c r="F40" s="48"/>
      <c r="G40" s="48"/>
      <c r="H40" s="48"/>
      <c r="I40" s="48"/>
      <c r="J40" s="48"/>
      <c r="K40" s="48"/>
      <c r="L40" s="49"/>
    </row>
    <row r="41" spans="1:12" ht="58.5" customHeight="1" x14ac:dyDescent="0.25">
      <c r="A41" s="47" t="s">
        <v>106</v>
      </c>
      <c r="B41" s="48"/>
      <c r="C41" s="48"/>
      <c r="D41" s="48"/>
      <c r="E41" s="48"/>
      <c r="F41" s="48"/>
      <c r="G41" s="48"/>
      <c r="H41" s="48"/>
      <c r="I41" s="48"/>
      <c r="J41" s="48"/>
      <c r="K41" s="48"/>
      <c r="L41" s="49"/>
    </row>
    <row r="42" spans="1:12" ht="34.5" customHeight="1" x14ac:dyDescent="0.25">
      <c r="A42" s="47" t="s">
        <v>107</v>
      </c>
      <c r="B42" s="48"/>
      <c r="C42" s="48"/>
      <c r="D42" s="48"/>
      <c r="E42" s="48"/>
      <c r="F42" s="48"/>
      <c r="G42" s="48"/>
      <c r="H42" s="48"/>
      <c r="I42" s="48"/>
      <c r="J42" s="48"/>
      <c r="K42" s="48"/>
      <c r="L42" s="49"/>
    </row>
    <row r="43" spans="1:12" ht="25.5" customHeight="1" x14ac:dyDescent="0.25">
      <c r="A43" s="35"/>
    </row>
    <row r="45" spans="1:12" ht="25.5" customHeight="1" x14ac:dyDescent="0.25">
      <c r="H45" s="36"/>
    </row>
  </sheetData>
  <sheetProtection formatCells="0" formatColumns="0"/>
  <mergeCells count="32">
    <mergeCell ref="A1:F1"/>
    <mergeCell ref="E30:E31"/>
    <mergeCell ref="L1:L2"/>
    <mergeCell ref="A35:J35"/>
    <mergeCell ref="L3:L34"/>
    <mergeCell ref="K3:K18"/>
    <mergeCell ref="K20:K24"/>
    <mergeCell ref="K28:K33"/>
    <mergeCell ref="G1:K1"/>
    <mergeCell ref="A19:F19"/>
    <mergeCell ref="A25:F25"/>
    <mergeCell ref="E3:E6"/>
    <mergeCell ref="E7:E9"/>
    <mergeCell ref="E10:E11"/>
    <mergeCell ref="E12:E13"/>
    <mergeCell ref="C3:C6"/>
    <mergeCell ref="A39:L39"/>
    <mergeCell ref="A40:L40"/>
    <mergeCell ref="A42:L42"/>
    <mergeCell ref="A41:L41"/>
    <mergeCell ref="C7:C9"/>
    <mergeCell ref="C10:C11"/>
    <mergeCell ref="C12:C13"/>
    <mergeCell ref="A36:K36"/>
    <mergeCell ref="A37:B37"/>
    <mergeCell ref="E32:E33"/>
    <mergeCell ref="A27:F27"/>
    <mergeCell ref="A34:F34"/>
    <mergeCell ref="C30:C31"/>
    <mergeCell ref="C32:C33"/>
    <mergeCell ref="C28:C29"/>
    <mergeCell ref="E28:E29"/>
  </mergeCells>
  <phoneticPr fontId="8" type="noConversion"/>
  <conditionalFormatting sqref="G3:G7 G9:G11 G13:G18">
    <cfRule type="cellIs" dxfId="44" priority="67" operator="lessThan">
      <formula>75</formula>
    </cfRule>
  </conditionalFormatting>
  <conditionalFormatting sqref="G8">
    <cfRule type="cellIs" dxfId="43" priority="29" operator="lessThan">
      <formula>80</formula>
    </cfRule>
  </conditionalFormatting>
  <conditionalFormatting sqref="G12">
    <cfRule type="cellIs" dxfId="42" priority="2" operator="lessThan">
      <formula>80</formula>
    </cfRule>
  </conditionalFormatting>
  <conditionalFormatting sqref="G20:G24">
    <cfRule type="cellIs" dxfId="41" priority="11" operator="lessThan">
      <formula>75</formula>
    </cfRule>
  </conditionalFormatting>
  <conditionalFormatting sqref="G26">
    <cfRule type="cellIs" dxfId="40" priority="10" operator="lessThan">
      <formula>75</formula>
    </cfRule>
  </conditionalFormatting>
  <conditionalFormatting sqref="G28:G29">
    <cfRule type="cellIs" dxfId="39" priority="9" operator="lessThan">
      <formula>75</formula>
    </cfRule>
  </conditionalFormatting>
  <conditionalFormatting sqref="G31:G33">
    <cfRule type="cellIs" dxfId="38" priority="8" operator="lessThan">
      <formula>75</formula>
    </cfRule>
  </conditionalFormatting>
  <conditionalFormatting sqref="G30:J30">
    <cfRule type="cellIs" dxfId="37" priority="26" operator="lessThan">
      <formula>80</formula>
    </cfRule>
  </conditionalFormatting>
  <conditionalFormatting sqref="H3:H18">
    <cfRule type="cellIs" dxfId="36" priority="3" operator="lessThan">
      <formula>80</formula>
    </cfRule>
  </conditionalFormatting>
  <conditionalFormatting sqref="H20:H24">
    <cfRule type="cellIs" dxfId="35" priority="7" operator="lessThan">
      <formula>80</formula>
    </cfRule>
  </conditionalFormatting>
  <conditionalFormatting sqref="H26">
    <cfRule type="cellIs" dxfId="34" priority="6" operator="lessThan">
      <formula>80</formula>
    </cfRule>
  </conditionalFormatting>
  <conditionalFormatting sqref="H28:H29">
    <cfRule type="cellIs" dxfId="33" priority="5" operator="lessThan">
      <formula>80</formula>
    </cfRule>
  </conditionalFormatting>
  <conditionalFormatting sqref="H31:H33">
    <cfRule type="cellIs" dxfId="32" priority="4" operator="lessThan">
      <formula>80</formula>
    </cfRule>
  </conditionalFormatting>
  <conditionalFormatting sqref="I3:J7 I9:J11 I13:J18">
    <cfRule type="cellIs" dxfId="31" priority="61" operator="lessThan">
      <formula>95</formula>
    </cfRule>
  </conditionalFormatting>
  <conditionalFormatting sqref="I8:J8">
    <cfRule type="cellIs" dxfId="30" priority="27" operator="lessThan">
      <formula>80</formula>
    </cfRule>
  </conditionalFormatting>
  <conditionalFormatting sqref="I12:J12">
    <cfRule type="cellIs" dxfId="29" priority="1" operator="lessThan">
      <formula>80</formula>
    </cfRule>
  </conditionalFormatting>
  <conditionalFormatting sqref="I20:J24">
    <cfRule type="cellIs" dxfId="28" priority="39" operator="lessThan">
      <formula>95</formula>
    </cfRule>
  </conditionalFormatting>
  <conditionalFormatting sqref="I26:J26">
    <cfRule type="cellIs" dxfId="27" priority="16" operator="lessThan">
      <formula>95</formula>
    </cfRule>
  </conditionalFormatting>
  <conditionalFormatting sqref="I28:J29">
    <cfRule type="cellIs" dxfId="26" priority="14" operator="lessThan">
      <formula>95</formula>
    </cfRule>
  </conditionalFormatting>
  <conditionalFormatting sqref="I31:J33">
    <cfRule type="cellIs" dxfId="25" priority="12" operator="lessThan">
      <formula>95</formula>
    </cfRule>
  </conditionalFormatting>
  <printOptions horizontalCentered="1"/>
  <pageMargins left="0.19685039370078741" right="0.19685039370078741" top="0.98425196850393704" bottom="0.78740157480314965" header="0.31496062992125984" footer="0.31496062992125984"/>
  <pageSetup paperSize="9" fitToHeight="0" orientation="landscape" r:id="rId1"/>
  <headerFooter>
    <oddHeader>&amp;C&amp;"Arial,Negrito"&amp;10Organização das Voluntárias de Goiás - 23º e 24º Termos Aditivos ao Contrato nº 001/2011-SEAD/OVG
Indicadores de Desempenho</oddHeader>
    <oddFooter>&amp;R&amp;P de &amp;N</oddFooter>
  </headerFooter>
  <rowBreaks count="1" manualBreakCount="1">
    <brk id="2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0"/>
  <sheetViews>
    <sheetView zoomScaleNormal="100" zoomScaleSheetLayoutView="100" workbookViewId="0">
      <pane ySplit="2" topLeftCell="A10" activePane="bottomLeft" state="frozen"/>
      <selection pane="bottomLeft" activeCell="O16" sqref="O16"/>
    </sheetView>
  </sheetViews>
  <sheetFormatPr defaultColWidth="8.85546875" defaultRowHeight="18" customHeight="1" x14ac:dyDescent="0.25"/>
  <cols>
    <col min="1" max="1" width="18.7109375" style="5" customWidth="1"/>
    <col min="2" max="2" width="10.7109375" style="5" customWidth="1"/>
    <col min="3" max="3" width="20.7109375" style="1" customWidth="1"/>
    <col min="4" max="4" width="15.7109375" style="13" customWidth="1"/>
    <col min="5" max="5" width="20.7109375" style="1" customWidth="1"/>
    <col min="6" max="6" width="15.7109375" style="13" customWidth="1"/>
    <col min="7" max="7" width="12.7109375" style="15" customWidth="1"/>
    <col min="8" max="8" width="13" style="15" customWidth="1"/>
    <col min="9" max="12" width="12.7109375" style="15" customWidth="1"/>
    <col min="13" max="16384" width="8.85546875" style="4"/>
  </cols>
  <sheetData>
    <row r="1" spans="1:12" ht="15" customHeight="1" x14ac:dyDescent="0.25">
      <c r="A1" s="50" t="s">
        <v>92</v>
      </c>
      <c r="B1" s="50"/>
      <c r="C1" s="50"/>
      <c r="D1" s="50"/>
      <c r="E1" s="50"/>
      <c r="F1" s="50"/>
      <c r="G1" s="51" t="s">
        <v>62</v>
      </c>
      <c r="H1" s="51"/>
      <c r="I1" s="51"/>
      <c r="J1" s="51"/>
      <c r="K1" s="51"/>
      <c r="L1" s="51" t="s">
        <v>68</v>
      </c>
    </row>
    <row r="2" spans="1:12" ht="30.95" customHeight="1" x14ac:dyDescent="0.25">
      <c r="A2" s="10" t="s">
        <v>56</v>
      </c>
      <c r="B2" s="10" t="s">
        <v>33</v>
      </c>
      <c r="C2" s="19" t="s">
        <v>58</v>
      </c>
      <c r="D2" s="10" t="s">
        <v>78</v>
      </c>
      <c r="E2" s="19" t="s">
        <v>77</v>
      </c>
      <c r="F2" s="10" t="s">
        <v>57</v>
      </c>
      <c r="G2" s="19" t="s">
        <v>61</v>
      </c>
      <c r="H2" s="19" t="s">
        <v>29</v>
      </c>
      <c r="I2" s="19" t="s">
        <v>32</v>
      </c>
      <c r="J2" s="19" t="s">
        <v>30</v>
      </c>
      <c r="K2" s="19" t="s">
        <v>67</v>
      </c>
      <c r="L2" s="51"/>
    </row>
    <row r="3" spans="1:12" ht="15" customHeight="1" x14ac:dyDescent="0.25">
      <c r="A3" s="20" t="s">
        <v>34</v>
      </c>
      <c r="B3" s="10" t="s">
        <v>0</v>
      </c>
      <c r="C3" s="39">
        <v>8720317</v>
      </c>
      <c r="D3" s="6">
        <v>402</v>
      </c>
      <c r="E3" s="37"/>
      <c r="F3" s="24"/>
      <c r="G3" s="22"/>
      <c r="H3" s="3">
        <f>IFERROR(IF((F3/D3*100)&gt;100,100,(F3/D3*100)),0)</f>
        <v>0</v>
      </c>
      <c r="I3" s="3">
        <f>IFERROR(IF(((F3/$E$3)/(D3/$C$3)*100)&gt;100,100,((F3/$E$3)/(D3/$C$3)*100)),0)</f>
        <v>0</v>
      </c>
      <c r="J3" s="3">
        <f>IFERROR(IF(((($C$3/D3)-($E$3/F3))/($E$3/F3)+1)*100&gt;100,100,((($C$3/D3)-($E$3/F3))/($E$3/F3)+1)*100),0)</f>
        <v>0</v>
      </c>
      <c r="K3" s="61"/>
      <c r="L3" s="61"/>
    </row>
    <row r="4" spans="1:12" ht="15" customHeight="1" x14ac:dyDescent="0.25">
      <c r="A4" s="20" t="s">
        <v>35</v>
      </c>
      <c r="B4" s="10" t="s">
        <v>1</v>
      </c>
      <c r="C4" s="39"/>
      <c r="D4" s="6">
        <v>168</v>
      </c>
      <c r="E4" s="37"/>
      <c r="F4" s="24"/>
      <c r="G4" s="22"/>
      <c r="H4" s="3">
        <f>IFERROR(IF((F4/D4*100)&gt;100,100,(F4/D4*100)),0)</f>
        <v>0</v>
      </c>
      <c r="I4" s="3">
        <f>IFERROR(IF(((F4/$E$3)/(D4/$C$3)*100)&gt;100,100,((F4/$E$3)/(D4/$C$3)*100)),0)</f>
        <v>0</v>
      </c>
      <c r="J4" s="3">
        <f>IFERROR(IF(((($C$3/D4)-($E$3/F4))/($E$3/F4)+1)*100&gt;100,100,((($C$3/D4)-($E$3/F4))/($E$3/F4)+1)*100),0)</f>
        <v>0</v>
      </c>
      <c r="K4" s="62"/>
      <c r="L4" s="62"/>
    </row>
    <row r="5" spans="1:12" ht="15" customHeight="1" x14ac:dyDescent="0.25">
      <c r="A5" s="20" t="s">
        <v>36</v>
      </c>
      <c r="B5" s="10" t="s">
        <v>2</v>
      </c>
      <c r="C5" s="39"/>
      <c r="D5" s="6">
        <v>180</v>
      </c>
      <c r="E5" s="37"/>
      <c r="F5" s="24"/>
      <c r="G5" s="22"/>
      <c r="H5" s="3">
        <f>IFERROR(IF((F5/D5*100)&gt;100,100,(F5/D5*100)),0)</f>
        <v>0</v>
      </c>
      <c r="I5" s="3">
        <f>IFERROR(IF(((F5/$E$3)/(D5/$C$3)*100)&gt;100,100,((F5/$E$3)/(D5/$C$3)*100)),0)</f>
        <v>0</v>
      </c>
      <c r="J5" s="3">
        <f>IFERROR(IF(((($C$3/D5)-($E$3/F5))/($E$3/F5)+1)*100&gt;100,100,((($C$3/D5)-($E$3/F5))/($E$3/F5)+1)*100),0)</f>
        <v>0</v>
      </c>
      <c r="K5" s="62"/>
      <c r="L5" s="62"/>
    </row>
    <row r="6" spans="1:12" ht="15" customHeight="1" x14ac:dyDescent="0.25">
      <c r="A6" s="20" t="s">
        <v>47</v>
      </c>
      <c r="B6" s="10" t="s">
        <v>3</v>
      </c>
      <c r="C6" s="39"/>
      <c r="D6" s="6">
        <v>2650</v>
      </c>
      <c r="E6" s="37"/>
      <c r="F6" s="24"/>
      <c r="G6" s="22"/>
      <c r="H6" s="3">
        <f t="shared" ref="H6:H19" si="0">IFERROR(IF((F6/D6*100)&gt;100,100,(F6/D6*100)),0)</f>
        <v>0</v>
      </c>
      <c r="I6" s="3">
        <f>IFERROR(IF(((F6/$E$3)/(D6/$C$3)*100)&gt;100,100,((F6/$E$3)/(D6/$C$3)*100)),0)</f>
        <v>0</v>
      </c>
      <c r="J6" s="3">
        <f>IFERROR(IF(((($C$3/D6)-($E$3/F6))/($E$3/F6)+1)*100&gt;100,100,((($C$3/D6)-($E$3/F6))/($E$3/F6)+1)*100),0)</f>
        <v>0</v>
      </c>
      <c r="K6" s="62"/>
      <c r="L6" s="62"/>
    </row>
    <row r="7" spans="1:12" ht="15" customHeight="1" x14ac:dyDescent="0.25">
      <c r="A7" s="20" t="s">
        <v>37</v>
      </c>
      <c r="B7" s="10" t="s">
        <v>4</v>
      </c>
      <c r="C7" s="39">
        <v>1416712</v>
      </c>
      <c r="D7" s="6">
        <v>180</v>
      </c>
      <c r="E7" s="37"/>
      <c r="F7" s="24"/>
      <c r="G7" s="22"/>
      <c r="H7" s="3">
        <f t="shared" si="0"/>
        <v>0</v>
      </c>
      <c r="I7" s="3">
        <f>IFERROR(IF(((F7/$E$7)/(D7/$C$7)*100)&gt;100,100,((F7/$E$7)/(D7/$C$7)*100)),0)</f>
        <v>0</v>
      </c>
      <c r="J7" s="3">
        <f>IFERROR(IF(((($C$7/D7)-($E$7/F7))/($E$7/F7)+1)*100&gt;100,100,((($C$7/D7)-($E$7/F7))/($E$7/F7)+1)*100),0)</f>
        <v>0</v>
      </c>
      <c r="K7" s="62"/>
      <c r="L7" s="62"/>
    </row>
    <row r="8" spans="1:12" ht="15" customHeight="1" x14ac:dyDescent="0.25">
      <c r="A8" s="20" t="s">
        <v>38</v>
      </c>
      <c r="B8" s="10" t="s">
        <v>5</v>
      </c>
      <c r="C8" s="39"/>
      <c r="D8" s="12"/>
      <c r="E8" s="37"/>
      <c r="F8" s="21"/>
      <c r="G8" s="11"/>
      <c r="H8" s="11"/>
      <c r="I8" s="11"/>
      <c r="J8" s="11"/>
      <c r="K8" s="62"/>
      <c r="L8" s="62"/>
    </row>
    <row r="9" spans="1:12" ht="15" customHeight="1" x14ac:dyDescent="0.25">
      <c r="A9" s="20" t="s">
        <v>48</v>
      </c>
      <c r="B9" s="10" t="s">
        <v>6</v>
      </c>
      <c r="C9" s="39"/>
      <c r="D9" s="6">
        <v>2310</v>
      </c>
      <c r="E9" s="37"/>
      <c r="F9" s="24"/>
      <c r="G9" s="22"/>
      <c r="H9" s="3">
        <f t="shared" si="0"/>
        <v>0</v>
      </c>
      <c r="I9" s="3">
        <f>IFERROR(IF(((F9/$E$7)/(D9/$C$7)*100)&gt;100,100,((F9/$E$7)/(D9/$C$7)*100)),0)</f>
        <v>0</v>
      </c>
      <c r="J9" s="3">
        <f>IFERROR(IF(((($C$7/D9)-($E$7/F9))/($E$7/F9)+1)*100&gt;100,100,((($C$7/D9)-($E$7/F9))/($E$7/F9)+1)*100),0)</f>
        <v>0</v>
      </c>
      <c r="K9" s="62"/>
      <c r="L9" s="62"/>
    </row>
    <row r="10" spans="1:12" ht="15" customHeight="1" x14ac:dyDescent="0.25">
      <c r="A10" s="20" t="s">
        <v>40</v>
      </c>
      <c r="B10" s="10" t="s">
        <v>7</v>
      </c>
      <c r="C10" s="39">
        <v>2061555</v>
      </c>
      <c r="D10" s="6">
        <v>90</v>
      </c>
      <c r="E10" s="37"/>
      <c r="F10" s="24"/>
      <c r="G10" s="22"/>
      <c r="H10" s="3">
        <f t="shared" si="0"/>
        <v>0</v>
      </c>
      <c r="I10" s="3">
        <f>IFERROR(IF(((F10/$E$10)/(D10/$C$10)*100)&gt;100,100,((F10/$E$10)/(D10/$C$10)*100)),0)</f>
        <v>0</v>
      </c>
      <c r="J10" s="3">
        <f>IFERROR(IF(((($C$10/D10)-($E$10/F10))/($E$10/F10)+1)*100&gt;100,100,((($C$10/D10)-($E$10/F10))/($E$10/F10)+1)*100),0)</f>
        <v>0</v>
      </c>
      <c r="K10" s="62"/>
      <c r="L10" s="62"/>
    </row>
    <row r="11" spans="1:12" ht="15" customHeight="1" x14ac:dyDescent="0.25">
      <c r="A11" s="20" t="s">
        <v>49</v>
      </c>
      <c r="B11" s="10" t="s">
        <v>8</v>
      </c>
      <c r="C11" s="39"/>
      <c r="D11" s="6">
        <v>1888</v>
      </c>
      <c r="E11" s="37"/>
      <c r="F11" s="24"/>
      <c r="G11" s="22"/>
      <c r="H11" s="3">
        <f t="shared" si="0"/>
        <v>0</v>
      </c>
      <c r="I11" s="3">
        <f>IFERROR(IF(((F11/$E$10)/(D11/$C$10)*100)&gt;100,100,((F11/$E$10)/(D11/$C$10)*100)),0)</f>
        <v>0</v>
      </c>
      <c r="J11" s="3">
        <f>IFERROR(IF(((($C$10/D11)-($E$10/F11))/($E$10/F11)+1)*100&gt;100,100,((($C$10/D11)-($E$10/F11))/($E$10/F11)+1)*100),0)</f>
        <v>0</v>
      </c>
      <c r="K11" s="62"/>
      <c r="L11" s="62"/>
    </row>
    <row r="12" spans="1:12" ht="15" customHeight="1" x14ac:dyDescent="0.25">
      <c r="A12" s="20" t="s">
        <v>39</v>
      </c>
      <c r="B12" s="10" t="s">
        <v>9</v>
      </c>
      <c r="C12" s="39">
        <v>2255448</v>
      </c>
      <c r="D12" s="6">
        <v>180</v>
      </c>
      <c r="E12" s="37"/>
      <c r="F12" s="24"/>
      <c r="G12" s="22"/>
      <c r="H12" s="3">
        <f>IFERROR(IF((F12/D12*100)&gt;100,100,(F12/D12*100)),0)</f>
        <v>0</v>
      </c>
      <c r="I12" s="3">
        <f>IFERROR(IF(((F12/$E$12)/(D12/$C$12)*100)&gt;100,100,((F12/$E$12)/(D12/$C$12)*100)),0)</f>
        <v>0</v>
      </c>
      <c r="J12" s="3">
        <f>IFERROR(IF(((($C$12/D12)-($E$12/F12))/($E$12/F12)+1)*100&gt;100,100,((($C$12/D12)-($E$12/F12))/($E$12/F12)+1)*100),0)</f>
        <v>0</v>
      </c>
      <c r="K12" s="62"/>
      <c r="L12" s="62"/>
    </row>
    <row r="13" spans="1:12" ht="15" customHeight="1" x14ac:dyDescent="0.25">
      <c r="A13" s="20" t="s">
        <v>50</v>
      </c>
      <c r="B13" s="10" t="s">
        <v>11</v>
      </c>
      <c r="C13" s="39"/>
      <c r="D13" s="6">
        <v>1770</v>
      </c>
      <c r="E13" s="37"/>
      <c r="F13" s="24"/>
      <c r="G13" s="22"/>
      <c r="H13" s="3">
        <f>IFERROR(IF((F13/D13*100)&gt;100,100,(F13/D13*100)),0)</f>
        <v>0</v>
      </c>
      <c r="I13" s="3">
        <f>IFERROR(IF(((F13/$E$12)/(D13/$C$12)*100)&gt;100,100,((F13/$E$12)/(D13/$C$12)*100)),0)</f>
        <v>0</v>
      </c>
      <c r="J13" s="3">
        <f>IFERROR(IF(((($C$12/D13)-($E$12/F13))/($E$12/F13)+1)*100&gt;100,100,((($C$12/D13)-($E$12/F13))/($E$12/F13)+1)*100),0)</f>
        <v>0</v>
      </c>
      <c r="K13" s="62"/>
      <c r="L13" s="62"/>
    </row>
    <row r="14" spans="1:12" ht="15" customHeight="1" x14ac:dyDescent="0.25">
      <c r="A14" s="20" t="s">
        <v>82</v>
      </c>
      <c r="B14" s="10" t="s">
        <v>12</v>
      </c>
      <c r="C14" s="40">
        <v>4338186</v>
      </c>
      <c r="D14" s="6">
        <v>144</v>
      </c>
      <c r="E14" s="42"/>
      <c r="F14" s="24"/>
      <c r="G14" s="22"/>
      <c r="H14" s="3">
        <f>IFERROR(IF((F14/D14*100)&gt;100,100,(F14/D14*100)),0)</f>
        <v>0</v>
      </c>
      <c r="I14" s="3">
        <f>IFERROR(IF(((F14/$E$14)/(D14/$C$14)*100)&gt;100,100,((F14/$E$14)/(D14/$C$14)*100)),0)</f>
        <v>0</v>
      </c>
      <c r="J14" s="3">
        <f>IFERROR(IF(((($C$14/D14)-($E$14/F14))/($E$14/F14)+1)*100&gt;100,100,((($C$14/D14)-($E$14/F14))/($E$14/F14)+1)*100),0)</f>
        <v>0</v>
      </c>
      <c r="K14" s="62"/>
      <c r="L14" s="62"/>
    </row>
    <row r="15" spans="1:12" ht="15" customHeight="1" x14ac:dyDescent="0.25">
      <c r="A15" s="20" t="s">
        <v>83</v>
      </c>
      <c r="B15" s="10" t="s">
        <v>14</v>
      </c>
      <c r="C15" s="41"/>
      <c r="D15" s="6">
        <v>1180</v>
      </c>
      <c r="E15" s="43"/>
      <c r="F15" s="24"/>
      <c r="G15" s="22"/>
      <c r="H15" s="3">
        <f>IFERROR(IF((F15/D15*100)&gt;100,100,(F15/D15*100)),0)</f>
        <v>0</v>
      </c>
      <c r="I15" s="3">
        <f>IFERROR(IF(((F15/$E$14)/(D15/$C$14)*100)&gt;100,100,((F15/$E$14)/(D15/$C$14)*100)),0)</f>
        <v>0</v>
      </c>
      <c r="J15" s="3">
        <f>IFERROR(IF(((($C$14/D15)-($E$14/F15))/($E$14/F15)+1)*100&gt;100,100,((($C$14/D15)-($E$14/F15))/($E$14/F15)+1)*100),0)</f>
        <v>0</v>
      </c>
      <c r="K15" s="62"/>
      <c r="L15" s="62"/>
    </row>
    <row r="16" spans="1:12" ht="15" customHeight="1" x14ac:dyDescent="0.25">
      <c r="A16" s="20" t="s">
        <v>41</v>
      </c>
      <c r="B16" s="10" t="s">
        <v>15</v>
      </c>
      <c r="C16" s="2">
        <v>5874852</v>
      </c>
      <c r="D16" s="6">
        <v>2750</v>
      </c>
      <c r="E16" s="23"/>
      <c r="F16" s="24"/>
      <c r="G16" s="22"/>
      <c r="H16" s="3">
        <f t="shared" si="0"/>
        <v>0</v>
      </c>
      <c r="I16" s="3">
        <f>IFERROR(IF(((F16/$E$16)/(D16/$C$16)*100)&gt;100,100,((F16/$E$16)/(D16/$C$16)*100)),0)</f>
        <v>0</v>
      </c>
      <c r="J16" s="3">
        <f>IFERROR(IF(((($C$16/D16)-($E$16/F16))/($E$16/F16)+1)*100&gt;100,100,((($C$16/D16)-($E$16/F16))/($E$16/F16)+1)*100),0)</f>
        <v>0</v>
      </c>
      <c r="K16" s="62"/>
      <c r="L16" s="62"/>
    </row>
    <row r="17" spans="1:12" ht="15" customHeight="1" x14ac:dyDescent="0.25">
      <c r="A17" s="20" t="s">
        <v>42</v>
      </c>
      <c r="B17" s="10" t="s">
        <v>16</v>
      </c>
      <c r="C17" s="2">
        <v>1030995</v>
      </c>
      <c r="D17" s="6">
        <v>900</v>
      </c>
      <c r="E17" s="23"/>
      <c r="F17" s="24"/>
      <c r="G17" s="22"/>
      <c r="H17" s="3">
        <f t="shared" si="0"/>
        <v>0</v>
      </c>
      <c r="I17" s="3">
        <f>IFERROR(IF(((F17/$E$17)/(D17/$C$17)*100)&gt;100,100,((F17/$E$17)/(D17/$C$17)*100)),0)</f>
        <v>0</v>
      </c>
      <c r="J17" s="3">
        <f>IFERROR(IF(((($C$17/D17)-($E$17/F17))/($E$17/F17)+1)*100&gt;100,100,((($C$17/D17)-($E$17/F17))/($E$17/F17)+1)*100),0)</f>
        <v>0</v>
      </c>
      <c r="K17" s="62"/>
      <c r="L17" s="62"/>
    </row>
    <row r="18" spans="1:12" ht="15" customHeight="1" x14ac:dyDescent="0.25">
      <c r="A18" s="20" t="s">
        <v>10</v>
      </c>
      <c r="B18" s="10" t="s">
        <v>18</v>
      </c>
      <c r="C18" s="2">
        <v>88541899</v>
      </c>
      <c r="D18" s="6">
        <v>84000</v>
      </c>
      <c r="E18" s="23"/>
      <c r="F18" s="24"/>
      <c r="G18" s="22"/>
      <c r="H18" s="3">
        <f t="shared" si="0"/>
        <v>0</v>
      </c>
      <c r="I18" s="3">
        <f>IFERROR(IF(((F18/$E$18)/(D18/$C$18)*100)&gt;100,100,((F18/$E$18)/(D18/$C$18)*100)),0)</f>
        <v>0</v>
      </c>
      <c r="J18" s="3">
        <f>IFERROR(IF(((($C$18/D18)-($E$18/F18))/($E$18/F18)+1)*100&gt;100,100,((($C$18/D18)-($E$18/F18))/($E$18/F18)+1)*100),0)</f>
        <v>0</v>
      </c>
      <c r="K18" s="62"/>
      <c r="L18" s="62"/>
    </row>
    <row r="19" spans="1:12" ht="15" customHeight="1" x14ac:dyDescent="0.25">
      <c r="A19" s="20" t="s">
        <v>13</v>
      </c>
      <c r="B19" s="10" t="s">
        <v>19</v>
      </c>
      <c r="C19" s="2">
        <v>1196094</v>
      </c>
      <c r="D19" s="6">
        <v>85</v>
      </c>
      <c r="E19" s="23"/>
      <c r="F19" s="24"/>
      <c r="G19" s="22"/>
      <c r="H19" s="3">
        <f t="shared" si="0"/>
        <v>0</v>
      </c>
      <c r="I19" s="3">
        <f>IFERROR(IF(((F19/$E$19)/(D19/$C$19)*100)&gt;100,100,((F19/$E$19)/(D19/$C$19)*100)),0)</f>
        <v>0</v>
      </c>
      <c r="J19" s="3">
        <f>IFERROR(IF(((($C$19/D19)-($E$19/F19))/($E$19/F19)+1)*100&gt;100,100,((($C$19/D19)-($E$19/F19))/($E$19/F19)+1)*100),0)</f>
        <v>0</v>
      </c>
      <c r="K19" s="62"/>
      <c r="L19" s="62"/>
    </row>
    <row r="20" spans="1:12" ht="15" customHeight="1" x14ac:dyDescent="0.25">
      <c r="A20" s="20" t="s">
        <v>17</v>
      </c>
      <c r="B20" s="10" t="s">
        <v>20</v>
      </c>
      <c r="C20" s="2">
        <v>2460124</v>
      </c>
      <c r="D20" s="6">
        <v>2070</v>
      </c>
      <c r="E20" s="23"/>
      <c r="F20" s="24"/>
      <c r="G20" s="22"/>
      <c r="H20" s="3">
        <f>IFERROR(IF((F20/D20*100)&gt;100,100,(F20/D20*100)),0)</f>
        <v>0</v>
      </c>
      <c r="I20" s="3">
        <f>IFERROR(IF(((F20/$E$20)/(D20/$C$20)*100)&gt;100,100,((F20/$E$20)/(D20/$C$20)*100)),0)</f>
        <v>0</v>
      </c>
      <c r="J20" s="3">
        <f>IFERROR(IF(((($C$20/D20)-($E$20/F20))/($E$20/F20)+1)*100&gt;100,100,((($C$20/D20)-($E$20/F20))/($E$20/F20)+1)*100),0)</f>
        <v>0</v>
      </c>
      <c r="K20" s="63"/>
      <c r="L20" s="62"/>
    </row>
    <row r="21" spans="1:12" ht="15" customHeight="1" x14ac:dyDescent="0.25">
      <c r="A21" s="38" t="s">
        <v>84</v>
      </c>
      <c r="B21" s="38"/>
      <c r="C21" s="38"/>
      <c r="D21" s="38"/>
      <c r="E21" s="38"/>
      <c r="F21" s="38"/>
      <c r="G21" s="14">
        <f>IFERROR(AVERAGEIF(G3:G20,"&gt;0"),0)</f>
        <v>0</v>
      </c>
      <c r="H21" s="14">
        <f>IFERROR(AVERAGEIF(H3:H20,"&gt;0"),0)</f>
        <v>0</v>
      </c>
      <c r="I21" s="14">
        <f>IFERROR(AVERAGEIF(I3:I20,"&gt;0"),0)</f>
        <v>0</v>
      </c>
      <c r="J21" s="14">
        <f>IFERROR(AVERAGEIF(J3:J20,"&gt;0"),0)</f>
        <v>0</v>
      </c>
      <c r="K21" s="9" t="str">
        <f>IF(((G21*0.2+H21*0.35+I21*0.3+J21*0.15))=0,"",((G21*0.2+H21*0.35+I21*0.3+J21*0.15)))</f>
        <v/>
      </c>
      <c r="L21" s="62"/>
    </row>
    <row r="22" spans="1:12" ht="15" customHeight="1" x14ac:dyDescent="0.25">
      <c r="A22" s="20" t="s">
        <v>59</v>
      </c>
      <c r="B22" s="10" t="s">
        <v>21</v>
      </c>
      <c r="C22" s="2">
        <v>444504</v>
      </c>
      <c r="D22" s="6">
        <v>430</v>
      </c>
      <c r="E22" s="23"/>
      <c r="F22" s="24"/>
      <c r="G22" s="22"/>
      <c r="H22" s="3">
        <f t="shared" ref="H22:H26" si="1">IFERROR(IF((F22/D22*100)&gt;100,100,(F22/D22*100)),0)</f>
        <v>0</v>
      </c>
      <c r="I22" s="3">
        <f>IFERROR(IF(((F22/$E$22)/(D22/$C$22)*100)&gt;100,100,((F22/$E$22)/(D22/$C$22)*100)),0)</f>
        <v>0</v>
      </c>
      <c r="J22" s="3">
        <f>IFERROR(IF(((($C$22/D22)-($E$22/F22))/($E$22/F22)+1)*100&gt;100,100,((($C$22/D22)-($E$22/F22))/($E$22/F22)+1)*100),0)</f>
        <v>0</v>
      </c>
      <c r="K22" s="61"/>
      <c r="L22" s="62"/>
    </row>
    <row r="23" spans="1:12" ht="15" customHeight="1" x14ac:dyDescent="0.25">
      <c r="A23" s="20" t="s">
        <v>45</v>
      </c>
      <c r="B23" s="10" t="s">
        <v>22</v>
      </c>
      <c r="C23" s="2">
        <v>33190539</v>
      </c>
      <c r="D23" s="6">
        <v>360</v>
      </c>
      <c r="E23" s="23"/>
      <c r="F23" s="24"/>
      <c r="G23" s="22"/>
      <c r="H23" s="3">
        <f t="shared" si="1"/>
        <v>0</v>
      </c>
      <c r="I23" s="3">
        <f>IFERROR(IF(((F23/$E$23)/(D23/$C$23)*100)&gt;100,100,((F23/$E$23)/(D23/$C$23)*100)),0)</f>
        <v>0</v>
      </c>
      <c r="J23" s="3">
        <f>IFERROR(IF(((($C$23/D23)-($E$23/F23))/($E$23/F23)+1)*100&gt;100,100,((($C$23/D23)-($E$23/F23))/($E$23/F23)+1)*100),0)</f>
        <v>0</v>
      </c>
      <c r="K23" s="62"/>
      <c r="L23" s="62"/>
    </row>
    <row r="24" spans="1:12" ht="15" customHeight="1" x14ac:dyDescent="0.25">
      <c r="A24" s="20" t="s">
        <v>79</v>
      </c>
      <c r="B24" s="10" t="s">
        <v>23</v>
      </c>
      <c r="C24" s="2">
        <v>1374414</v>
      </c>
      <c r="D24" s="6">
        <v>600</v>
      </c>
      <c r="E24" s="23"/>
      <c r="F24" s="24"/>
      <c r="G24" s="22"/>
      <c r="H24" s="3">
        <f t="shared" si="1"/>
        <v>0</v>
      </c>
      <c r="I24" s="3">
        <f>IFERROR(IF(((F24/$E$24)/(D24/$C$24)*100)&gt;100,100,((F24/$E$24)/(D24/$C$24)*100)),0)</f>
        <v>0</v>
      </c>
      <c r="J24" s="3">
        <f>IFERROR(IF(((($C$24/D24)-($E$24/F24))/($E$24/F24)+1)*100&gt;100,100,((($C$24/D24)-($E$24/F24))/($E$24/F24)+1)*100),0)</f>
        <v>0</v>
      </c>
      <c r="K24" s="62"/>
      <c r="L24" s="62"/>
    </row>
    <row r="25" spans="1:12" ht="15" customHeight="1" x14ac:dyDescent="0.25">
      <c r="A25" s="20" t="s">
        <v>94</v>
      </c>
      <c r="B25" s="10" t="s">
        <v>24</v>
      </c>
      <c r="C25" s="2">
        <v>25492229</v>
      </c>
      <c r="D25" s="6">
        <v>2254413</v>
      </c>
      <c r="E25" s="23"/>
      <c r="F25" s="24"/>
      <c r="G25" s="22"/>
      <c r="H25" s="3">
        <f t="shared" si="1"/>
        <v>0</v>
      </c>
      <c r="I25" s="3">
        <f>IFERROR(IF(((F25/$E$25)/(D25/$C$25)*100)&gt;100,100,((F25/$E$25)/(D25/$C$25)*100)),0)</f>
        <v>0</v>
      </c>
      <c r="J25" s="3">
        <f>IFERROR(IF(((($C$25/D25)-($E$25/F25))/($E$25/F25)+1)*100&gt;100,100,((($C$25/D25)-($E$25/F25))/($E$25/F25)+1)*100),0)</f>
        <v>0</v>
      </c>
      <c r="K25" s="62"/>
      <c r="L25" s="62"/>
    </row>
    <row r="26" spans="1:12" ht="15" customHeight="1" x14ac:dyDescent="0.25">
      <c r="A26" s="20" t="s">
        <v>93</v>
      </c>
      <c r="B26" s="10" t="s">
        <v>25</v>
      </c>
      <c r="C26" s="2">
        <v>2921535</v>
      </c>
      <c r="D26" s="6">
        <v>300000</v>
      </c>
      <c r="E26" s="23"/>
      <c r="F26" s="24"/>
      <c r="G26" s="22"/>
      <c r="H26" s="3">
        <f t="shared" si="1"/>
        <v>0</v>
      </c>
      <c r="I26" s="3">
        <f>IFERROR(IF(((F26/$E$26)/(D26/$C$26)*100)&gt;100,100,((F26/$E$26)/(D26/$C$26)*100)),0)</f>
        <v>0</v>
      </c>
      <c r="J26" s="3">
        <f>IFERROR(IF(((($C$26/D26)-($E$26/F26))/($E$26/F26)+1)*100&gt;100,100,((($C$26/D26)-($E$26/F26))/($E$26/F26)+1)*100),0)</f>
        <v>0</v>
      </c>
      <c r="K26" s="63"/>
      <c r="L26" s="62"/>
    </row>
    <row r="27" spans="1:12" ht="15" customHeight="1" x14ac:dyDescent="0.25">
      <c r="A27" s="38" t="s">
        <v>87</v>
      </c>
      <c r="B27" s="38"/>
      <c r="C27" s="38"/>
      <c r="D27" s="38"/>
      <c r="E27" s="38"/>
      <c r="F27" s="38"/>
      <c r="G27" s="14">
        <f>IFERROR(AVERAGEIF(G22:G26,"&gt;0"),0)</f>
        <v>0</v>
      </c>
      <c r="H27" s="14">
        <f t="shared" ref="H27:J27" si="2">IFERROR(AVERAGEIF(H22:H26,"&gt;0"),0)</f>
        <v>0</v>
      </c>
      <c r="I27" s="14">
        <f t="shared" si="2"/>
        <v>0</v>
      </c>
      <c r="J27" s="14">
        <f t="shared" si="2"/>
        <v>0</v>
      </c>
      <c r="K27" s="9" t="str">
        <f>IF(((G27*0.2+H27*0.35+I27*0.3+J27*0.15))=0,"",((G27*0.2+H27*0.35+I27*0.3+J27*0.15)))</f>
        <v/>
      </c>
      <c r="L27" s="62"/>
    </row>
    <row r="28" spans="1:12" ht="15" customHeight="1" x14ac:dyDescent="0.25">
      <c r="A28" s="20" t="s">
        <v>60</v>
      </c>
      <c r="B28" s="10" t="s">
        <v>26</v>
      </c>
      <c r="C28" s="2">
        <v>33190539</v>
      </c>
      <c r="D28" s="6">
        <v>185160</v>
      </c>
      <c r="E28" s="23"/>
      <c r="F28" s="24"/>
      <c r="G28" s="22"/>
      <c r="H28" s="3">
        <f>IFERROR(IF((F28/D28*100)&gt;100,100,(F28/D28*100)),0)</f>
        <v>0</v>
      </c>
      <c r="I28" s="3">
        <f>IFERROR(IF(((F28/$E$28)/(D28/$C$28)*100)&gt;100,100,((F28/$E$28)/(D28/$C$28)*100)),0)</f>
        <v>0</v>
      </c>
      <c r="J28" s="3">
        <f>IFERROR(IF(((($C$28/D28)-($E$28/F28))/($E$28/F28)+1)*100&gt;100,100,((($C$28/D28)-($E$28/F28))/($E$28/F28)+1)*100),0)</f>
        <v>0</v>
      </c>
      <c r="K28" s="9"/>
      <c r="L28" s="62"/>
    </row>
    <row r="29" spans="1:12" ht="15" customHeight="1" x14ac:dyDescent="0.25">
      <c r="A29" s="38" t="s">
        <v>88</v>
      </c>
      <c r="B29" s="38"/>
      <c r="C29" s="38"/>
      <c r="D29" s="38"/>
      <c r="E29" s="38"/>
      <c r="F29" s="38"/>
      <c r="G29" s="14">
        <f>IFERROR(AVERAGEIF(G28,"&gt;0"),0)</f>
        <v>0</v>
      </c>
      <c r="H29" s="14">
        <f t="shared" ref="H29:J29" si="3">IFERROR(AVERAGEIF(H28,"&gt;0"),0)</f>
        <v>0</v>
      </c>
      <c r="I29" s="14">
        <f t="shared" si="3"/>
        <v>0</v>
      </c>
      <c r="J29" s="14">
        <f t="shared" si="3"/>
        <v>0</v>
      </c>
      <c r="K29" s="9" t="str">
        <f>IF(((G29*0.2+H29*0.35+I29*0.3+J29*0.15))=0,"",((G29*0.2+H29*0.35+I29*0.3+J29*0.15)))</f>
        <v/>
      </c>
      <c r="L29" s="62"/>
    </row>
    <row r="30" spans="1:12" ht="15" customHeight="1" x14ac:dyDescent="0.25">
      <c r="A30" s="20" t="s">
        <v>46</v>
      </c>
      <c r="B30" s="10" t="s">
        <v>27</v>
      </c>
      <c r="C30" s="40">
        <v>444504</v>
      </c>
      <c r="D30" s="6">
        <v>870</v>
      </c>
      <c r="E30" s="42"/>
      <c r="F30" s="24"/>
      <c r="G30" s="22"/>
      <c r="H30" s="3">
        <f>IFERROR(IF((F30/D30*100)&gt;100,100,(F30/D30*100)),0)</f>
        <v>0</v>
      </c>
      <c r="I30" s="3">
        <f>IFERROR(IF(((F30/$E$30)/(D30/$C$30)*100)&gt;100,100,((F30/$E$30)/(D30/$C$30)*100)),0)</f>
        <v>0</v>
      </c>
      <c r="J30" s="3">
        <f>IFERROR(IF(((($C$30/D30)-($E$30/F30))/($E$30/F30)+1)*100&gt;100,100,((($C$30/D30)-($E$30/F30))/($E$30/F30)+1)*100),0)</f>
        <v>0</v>
      </c>
      <c r="K30" s="61"/>
      <c r="L30" s="62"/>
    </row>
    <row r="31" spans="1:12" ht="15" customHeight="1" x14ac:dyDescent="0.25">
      <c r="A31" s="20" t="s">
        <v>51</v>
      </c>
      <c r="B31" s="10" t="s">
        <v>28</v>
      </c>
      <c r="C31" s="41"/>
      <c r="D31" s="6">
        <v>42</v>
      </c>
      <c r="E31" s="43"/>
      <c r="F31" s="24"/>
      <c r="G31" s="22"/>
      <c r="H31" s="3">
        <f>IFERROR(IF((F31/D31*100)&gt;100,100,(F31/D31*100)),0)</f>
        <v>0</v>
      </c>
      <c r="I31" s="3">
        <f>IFERROR(IF(((F31/$E$31)/(D31/$C$31)*100)&gt;100,100,((F31/$E$31)/(D31/$C$31)*100)),0)</f>
        <v>0</v>
      </c>
      <c r="J31" s="3">
        <f>IFERROR(IF(((($C$31/D31)-($E$31/F31))/($E$31/F31)+1)*100&gt;100,100,((($C$31/D31)-($E$31/F31))/($E$31/F31)+1)*100),0)</f>
        <v>0</v>
      </c>
      <c r="K31" s="62"/>
      <c r="L31" s="62"/>
    </row>
    <row r="32" spans="1:12" ht="15" customHeight="1" x14ac:dyDescent="0.25">
      <c r="A32" s="20" t="s">
        <v>52</v>
      </c>
      <c r="B32" s="10" t="s">
        <v>43</v>
      </c>
      <c r="C32" s="39">
        <v>2192217</v>
      </c>
      <c r="D32" s="6">
        <v>400000</v>
      </c>
      <c r="E32" s="42"/>
      <c r="F32" s="24"/>
      <c r="G32" s="22"/>
      <c r="H32" s="3">
        <f t="shared" ref="H32" si="4">IFERROR(IF((F32/D32*100)&gt;100,100,(F32/D32*100)),0)</f>
        <v>0</v>
      </c>
      <c r="I32" s="3">
        <f>IFERROR(IF(((F32/$E$32)/(D32/$C$32)*100)&gt;100,100,((F32/$E$32)/(D32/$C$32)*100)),0)</f>
        <v>0</v>
      </c>
      <c r="J32" s="3">
        <f>IFERROR(IF(((($C$32/D32)-($E$32/F32))/($E$32/F32)+1)*100&gt;100,100,((($C$32/D32)-($E$32/F32))/($E$32/F32)+1)*100),0)</f>
        <v>0</v>
      </c>
      <c r="K32" s="62"/>
      <c r="L32" s="62"/>
    </row>
    <row r="33" spans="1:12" ht="15" customHeight="1" x14ac:dyDescent="0.25">
      <c r="A33" s="20" t="s">
        <v>53</v>
      </c>
      <c r="B33" s="10" t="s">
        <v>44</v>
      </c>
      <c r="C33" s="39"/>
      <c r="D33" s="12"/>
      <c r="E33" s="43"/>
      <c r="F33" s="21"/>
      <c r="G33" s="11"/>
      <c r="H33" s="11"/>
      <c r="I33" s="11"/>
      <c r="J33" s="11"/>
      <c r="K33" s="62"/>
      <c r="L33" s="62"/>
    </row>
    <row r="34" spans="1:12" ht="15" customHeight="1" x14ac:dyDescent="0.25">
      <c r="A34" s="20" t="s">
        <v>54</v>
      </c>
      <c r="B34" s="10" t="s">
        <v>85</v>
      </c>
      <c r="C34" s="39">
        <v>632036</v>
      </c>
      <c r="D34" s="12"/>
      <c r="E34" s="42"/>
      <c r="F34" s="21"/>
      <c r="G34" s="11"/>
      <c r="H34" s="11"/>
      <c r="I34" s="11"/>
      <c r="J34" s="11"/>
      <c r="K34" s="62"/>
      <c r="L34" s="62"/>
    </row>
    <row r="35" spans="1:12" ht="15" customHeight="1" x14ac:dyDescent="0.25">
      <c r="A35" s="20" t="s">
        <v>55</v>
      </c>
      <c r="B35" s="10" t="s">
        <v>86</v>
      </c>
      <c r="C35" s="39"/>
      <c r="D35" s="12"/>
      <c r="E35" s="43"/>
      <c r="F35" s="21"/>
      <c r="G35" s="11"/>
      <c r="H35" s="11"/>
      <c r="I35" s="11"/>
      <c r="J35" s="11"/>
      <c r="K35" s="63"/>
      <c r="L35" s="62"/>
    </row>
    <row r="36" spans="1:12" ht="15" customHeight="1" x14ac:dyDescent="0.25">
      <c r="A36" s="38" t="s">
        <v>89</v>
      </c>
      <c r="B36" s="38"/>
      <c r="C36" s="38"/>
      <c r="D36" s="38"/>
      <c r="E36" s="38"/>
      <c r="F36" s="38"/>
      <c r="G36" s="14">
        <f>IFERROR(AVERAGEIF(G30:G35,"&gt;0"),0)</f>
        <v>0</v>
      </c>
      <c r="H36" s="14">
        <f t="shared" ref="H36:J36" si="5">IFERROR(AVERAGEIF(H30:H35,"&gt;0"),0)</f>
        <v>0</v>
      </c>
      <c r="I36" s="14">
        <f t="shared" si="5"/>
        <v>0</v>
      </c>
      <c r="J36" s="14">
        <f t="shared" si="5"/>
        <v>0</v>
      </c>
      <c r="K36" s="9" t="str">
        <f>IF(((G36*0.2+H36*0.35+I36*0.3+J36*0.15))=0,"",((G36*0.2+H36*0.35+I36*0.3+J36*0.15)))</f>
        <v/>
      </c>
      <c r="L36" s="63"/>
    </row>
    <row r="37" spans="1:12" ht="15" customHeight="1" x14ac:dyDescent="0.25">
      <c r="A37" s="52" t="s">
        <v>90</v>
      </c>
      <c r="B37" s="53"/>
      <c r="C37" s="53"/>
      <c r="D37" s="53"/>
      <c r="E37" s="53"/>
      <c r="F37" s="53"/>
      <c r="G37" s="53"/>
      <c r="H37" s="53"/>
      <c r="I37" s="53"/>
      <c r="J37" s="54"/>
      <c r="K37" s="9">
        <f>IFERROR(AVERAGEIF((K3:K36),"&gt;0"),0)</f>
        <v>0</v>
      </c>
      <c r="L37" s="25">
        <f>IF(K37&lt;10,0,IF(K37&lt;20,1,IF(K37&lt;30,2,IF(K37&lt;40,3,IF(K37&lt;50,4,IF(K37&lt;60,5,IF(K37&lt;70,6,IF(K37&lt;80,7,IF(K37&lt;90,8,IF(K37&lt;100,9,10))))))))))</f>
        <v>0</v>
      </c>
    </row>
    <row r="38" spans="1:12" ht="15" customHeight="1" x14ac:dyDescent="0.25">
      <c r="A38" s="58" t="s">
        <v>63</v>
      </c>
      <c r="B38" s="58"/>
      <c r="C38" s="58"/>
      <c r="D38" s="58"/>
      <c r="E38" s="58"/>
      <c r="F38" s="58"/>
      <c r="G38" s="58"/>
      <c r="H38" s="58"/>
      <c r="I38" s="58"/>
      <c r="J38" s="58"/>
      <c r="K38" s="58"/>
      <c r="L38" s="5"/>
    </row>
    <row r="39" spans="1:12" ht="15" customHeight="1" x14ac:dyDescent="0.25">
      <c r="A39" s="59" t="s">
        <v>31</v>
      </c>
      <c r="B39" s="60"/>
      <c r="C39" s="17">
        <f>SUM(C3:C20,C22,C23,C24:C26,C32,C34)</f>
        <v>184143656</v>
      </c>
      <c r="D39" s="18">
        <f>SUM(D3:D20,D22:D26,D28,D30:D35)</f>
        <v>3242822</v>
      </c>
      <c r="E39" s="17">
        <f>SUM(E3:E20,E22,E23,E24:E26,E32,E34)</f>
        <v>0</v>
      </c>
      <c r="F39" s="18">
        <f>SUM(F3:F20,F22:F26,F28,F30:F35)</f>
        <v>0</v>
      </c>
    </row>
    <row r="40" spans="1:12" ht="15" customHeight="1" x14ac:dyDescent="0.25"/>
  </sheetData>
  <sheetProtection sheet="1" formatCells="0" formatColumns="0"/>
  <mergeCells count="30">
    <mergeCell ref="L1:L2"/>
    <mergeCell ref="L3:L36"/>
    <mergeCell ref="A38:K38"/>
    <mergeCell ref="A39:B39"/>
    <mergeCell ref="K3:K20"/>
    <mergeCell ref="K22:K26"/>
    <mergeCell ref="K30:K35"/>
    <mergeCell ref="A37:J37"/>
    <mergeCell ref="A27:F27"/>
    <mergeCell ref="A1:F1"/>
    <mergeCell ref="G1:K1"/>
    <mergeCell ref="C3:C6"/>
    <mergeCell ref="E3:E6"/>
    <mergeCell ref="C7:C9"/>
    <mergeCell ref="E7:E9"/>
    <mergeCell ref="C10:C11"/>
    <mergeCell ref="A36:F36"/>
    <mergeCell ref="E10:E11"/>
    <mergeCell ref="C12:C13"/>
    <mergeCell ref="E12:E13"/>
    <mergeCell ref="A21:F21"/>
    <mergeCell ref="A29:F29"/>
    <mergeCell ref="C30:C31"/>
    <mergeCell ref="E30:E31"/>
    <mergeCell ref="C32:C33"/>
    <mergeCell ref="E32:E33"/>
    <mergeCell ref="C34:C35"/>
    <mergeCell ref="E34:E35"/>
    <mergeCell ref="C14:C15"/>
    <mergeCell ref="E14:E15"/>
  </mergeCells>
  <conditionalFormatting sqref="G3:G7 G9:G20">
    <cfRule type="cellIs" dxfId="24" priority="21" operator="lessThan">
      <formula>75</formula>
    </cfRule>
  </conditionalFormatting>
  <conditionalFormatting sqref="G8">
    <cfRule type="cellIs" dxfId="23" priority="6" operator="lessThan">
      <formula>80</formula>
    </cfRule>
  </conditionalFormatting>
  <conditionalFormatting sqref="G22:G26">
    <cfRule type="cellIs" dxfId="22" priority="38" operator="lessThan">
      <formula>75</formula>
    </cfRule>
  </conditionalFormatting>
  <conditionalFormatting sqref="G28">
    <cfRule type="cellIs" dxfId="21" priority="37" operator="lessThan">
      <formula>75</formula>
    </cfRule>
  </conditionalFormatting>
  <conditionalFormatting sqref="G30:G32">
    <cfRule type="cellIs" dxfId="20" priority="24" operator="lessThan">
      <formula>75</formula>
    </cfRule>
  </conditionalFormatting>
  <conditionalFormatting sqref="G33:G35">
    <cfRule type="cellIs" dxfId="19" priority="29" operator="lessThan">
      <formula>80</formula>
    </cfRule>
  </conditionalFormatting>
  <conditionalFormatting sqref="H3:H20">
    <cfRule type="cellIs" dxfId="18" priority="2" operator="lessThan">
      <formula>80</formula>
    </cfRule>
  </conditionalFormatting>
  <conditionalFormatting sqref="H22:H26">
    <cfRule type="cellIs" dxfId="17" priority="10" operator="lessThan">
      <formula>80</formula>
    </cfRule>
  </conditionalFormatting>
  <conditionalFormatting sqref="H28">
    <cfRule type="cellIs" dxfId="16" priority="9" operator="lessThan">
      <formula>80</formula>
    </cfRule>
  </conditionalFormatting>
  <conditionalFormatting sqref="H30:H35">
    <cfRule type="cellIs" dxfId="15" priority="7" operator="lessThan">
      <formula>80</formula>
    </cfRule>
  </conditionalFormatting>
  <conditionalFormatting sqref="I3:J7">
    <cfRule type="cellIs" dxfId="14" priority="20" operator="lessThan">
      <formula>95</formula>
    </cfRule>
  </conditionalFormatting>
  <conditionalFormatting sqref="I8:J8">
    <cfRule type="cellIs" dxfId="13" priority="4" operator="lessThan">
      <formula>80</formula>
    </cfRule>
  </conditionalFormatting>
  <conditionalFormatting sqref="I9:J20">
    <cfRule type="cellIs" dxfId="12" priority="1" operator="lessThan">
      <formula>95</formula>
    </cfRule>
  </conditionalFormatting>
  <conditionalFormatting sqref="I22:J26">
    <cfRule type="cellIs" dxfId="11" priority="18" operator="lessThan">
      <formula>95</formula>
    </cfRule>
  </conditionalFormatting>
  <conditionalFormatting sqref="I28:J28">
    <cfRule type="cellIs" dxfId="10" priority="17" operator="lessThan">
      <formula>95</formula>
    </cfRule>
  </conditionalFormatting>
  <conditionalFormatting sqref="I30:J32">
    <cfRule type="cellIs" dxfId="9" priority="13" operator="lessThan">
      <formula>95</formula>
    </cfRule>
  </conditionalFormatting>
  <conditionalFormatting sqref="I33:J35">
    <cfRule type="cellIs" dxfId="8" priority="11" operator="lessThan">
      <formula>80</formula>
    </cfRule>
  </conditionalFormatting>
  <printOptions horizontalCentered="1"/>
  <pageMargins left="0.19685039370078741" right="0.19685039370078741" top="0.98425196850393704" bottom="0.78740157480314965" header="0.31496062992125984" footer="0.31496062992125984"/>
  <pageSetup paperSize="9" fitToHeight="0" orientation="landscape" r:id="rId1"/>
  <headerFooter>
    <oddHeader>&amp;C&amp;"Arial,Negrito"&amp;10 Organização das Voluntárias de Goiás - 24º Termo Aditivo ao Contrato nº 001/2011-SEAD/OVG
Indicadores de Desempenho</oddHead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0"/>
  <sheetViews>
    <sheetView zoomScaleNormal="100" zoomScaleSheetLayoutView="100" workbookViewId="0">
      <selection activeCell="C27" sqref="C27"/>
    </sheetView>
  </sheetViews>
  <sheetFormatPr defaultColWidth="8.85546875" defaultRowHeight="18" customHeight="1" x14ac:dyDescent="0.25"/>
  <cols>
    <col min="1" max="1" width="40.7109375" style="7" customWidth="1"/>
    <col min="2" max="2" width="12.7109375" style="8" customWidth="1"/>
    <col min="3" max="3" width="25.7109375" style="7" customWidth="1"/>
    <col min="4" max="4" width="50.7109375" style="7" customWidth="1"/>
    <col min="5" max="16384" width="8.85546875" style="7"/>
  </cols>
  <sheetData>
    <row r="1" spans="1:4" ht="21" customHeight="1" x14ac:dyDescent="0.25">
      <c r="A1" s="50" t="s">
        <v>76</v>
      </c>
      <c r="B1" s="50"/>
      <c r="C1" s="50"/>
      <c r="D1" s="50"/>
    </row>
    <row r="2" spans="1:4" ht="21" customHeight="1" x14ac:dyDescent="0.25">
      <c r="A2" s="19" t="s">
        <v>72</v>
      </c>
      <c r="B2" s="10" t="s">
        <v>68</v>
      </c>
      <c r="C2" s="50" t="s">
        <v>75</v>
      </c>
      <c r="D2" s="50"/>
    </row>
    <row r="3" spans="1:4" ht="21" customHeight="1" x14ac:dyDescent="0.25">
      <c r="A3" s="19" t="s">
        <v>73</v>
      </c>
      <c r="B3" s="31">
        <f>'2º Semestre 2024'!L35</f>
        <v>9</v>
      </c>
      <c r="C3" s="34" t="str">
        <f>IF(B3&lt;5,"Ruim",IF(B3&lt;7,"Razoável",IF(B3&lt;9,"Bom","Excelente")))</f>
        <v>Excelente</v>
      </c>
      <c r="D3" s="33" t="str">
        <f>IF(B5&lt;7,"Insatisfatório","Satisfatório")</f>
        <v>Satisfatório</v>
      </c>
    </row>
    <row r="4" spans="1:4" ht="21" customHeight="1" x14ac:dyDescent="0.25">
      <c r="A4" s="19" t="s">
        <v>74</v>
      </c>
      <c r="B4" s="31">
        <f>'1º Semestre 2025'!L37</f>
        <v>0</v>
      </c>
      <c r="C4" s="34" t="str">
        <f>IF(B4&lt;5,"Ruim",IF(B4&lt;7,"Razoável",IF(B4&lt;9,"Bom","Excelente")))</f>
        <v>Ruim</v>
      </c>
      <c r="D4" s="28" t="s">
        <v>70</v>
      </c>
    </row>
    <row r="5" spans="1:4" ht="21" customHeight="1" x14ac:dyDescent="0.25">
      <c r="A5" s="19" t="s">
        <v>71</v>
      </c>
      <c r="B5" s="32">
        <f>IFERROR(AVERAGEIF((B3:B4),"&gt;0"),0)</f>
        <v>9</v>
      </c>
      <c r="C5" s="34" t="str">
        <f>IF(B5&lt;5,"Ruim",IF(B5&lt;7,"Razoável",IF(B5&lt;9,"Bom","Excelente")))</f>
        <v>Excelente</v>
      </c>
      <c r="D5" s="29" t="str">
        <f>IF(D3="Satisfatório","Recomenda-se a renovação do Contrato de Gestão",IF(D3="Insatisfatório","Não se recomenda a renovação do Contrato de Gestão"," "))</f>
        <v>Recomenda-se a renovação do Contrato de Gestão</v>
      </c>
    </row>
    <row r="10" spans="1:4" ht="18" customHeight="1" x14ac:dyDescent="0.25">
      <c r="A10" s="27" t="s">
        <v>69</v>
      </c>
    </row>
  </sheetData>
  <sheetProtection sheet="1" formatCells="0" formatColumns="0"/>
  <mergeCells count="2">
    <mergeCell ref="C2:D2"/>
    <mergeCell ref="A1:D1"/>
  </mergeCells>
  <conditionalFormatting sqref="C3:C5">
    <cfRule type="cellIs" dxfId="7" priority="1" operator="equal">
      <formula>"Bom"</formula>
    </cfRule>
    <cfRule type="cellIs" dxfId="6" priority="2" operator="equal">
      <formula>"Razoável"</formula>
    </cfRule>
    <cfRule type="cellIs" dxfId="5" priority="3" operator="equal">
      <formula>"Ruim"</formula>
    </cfRule>
    <cfRule type="cellIs" dxfId="4" priority="4" operator="equal">
      <formula>"Excelente"</formula>
    </cfRule>
  </conditionalFormatting>
  <conditionalFormatting sqref="D3">
    <cfRule type="cellIs" dxfId="3" priority="9" operator="equal">
      <formula>"Insatisfatório"</formula>
    </cfRule>
    <cfRule type="cellIs" dxfId="2" priority="10" operator="equal">
      <formula>"Satisfatório"</formula>
    </cfRule>
  </conditionalFormatting>
  <conditionalFormatting sqref="D5">
    <cfRule type="cellIs" dxfId="1" priority="11" operator="equal">
      <formula>"Não se recomenda a renovação do Contrato de Gestão"</formula>
    </cfRule>
    <cfRule type="cellIs" dxfId="0" priority="12" operator="equal">
      <formula>"Recomenda-se a renovação do Contrato de Gestão"</formula>
    </cfRule>
  </conditionalFormatting>
  <printOptions horizontalCentered="1"/>
  <pageMargins left="0.19685039370078741" right="0.19685039370078741" top="0.98425196850393704" bottom="0.59055118110236227" header="0.11811023622047245" footer="0.11811023622047245"/>
  <pageSetup paperSize="9" fitToHeight="0" orientation="landscape" r:id="rId1"/>
  <headerFooter>
    <oddHeader>&amp;C&amp;"Arial,Negrito"&amp;10Organização das Voluntárias de Goiás - 23º e 24º Termos Aditivos ao Contrato nº 001/2011-SEAD/OVG
Indicadores de Desempenho</oddHead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2</vt:i4>
      </vt:variant>
    </vt:vector>
  </HeadingPairs>
  <TitlesOfParts>
    <vt:vector size="5" baseType="lpstr">
      <vt:lpstr>2º Semestre 2024</vt:lpstr>
      <vt:lpstr>1º Semestre 2025</vt:lpstr>
      <vt:lpstr>Resumo</vt:lpstr>
      <vt:lpstr>'1º Semestre 2025'!Titulos_de_impressao</vt:lpstr>
      <vt:lpstr>'2º Semestre 2024'!Titulos_de_impressao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Eduardo Jayme Oliveira</dc:creator>
  <cp:lastModifiedBy>Isadora de Fátima Lopes</cp:lastModifiedBy>
  <cp:lastPrinted>2025-01-30T13:22:31Z</cp:lastPrinted>
  <dcterms:created xsi:type="dcterms:W3CDTF">2023-07-04T20:43:46Z</dcterms:created>
  <dcterms:modified xsi:type="dcterms:W3CDTF">2025-01-30T13:23:01Z</dcterms:modified>
</cp:coreProperties>
</file>