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mc:AlternateContent xmlns:mc="http://schemas.openxmlformats.org/markup-compatibility/2006">
    <mc:Choice Requires="x15">
      <x15ac:absPath xmlns:x15ac="http://schemas.microsoft.com/office/spreadsheetml/2010/11/ac" url="\\arquivos\DOC_CMCG\INDICADORES\Indicadores 2024\2024.1\"/>
    </mc:Choice>
  </mc:AlternateContent>
  <xr:revisionPtr revIDLastSave="0" documentId="13_ncr:1_{566339FC-6202-4D33-976D-1799F61ECB24}" xr6:coauthVersionLast="47" xr6:coauthVersionMax="47" xr10:uidLastSave="{00000000-0000-0000-0000-000000000000}"/>
  <bookViews>
    <workbookView xWindow="-120" yWindow="-120" windowWidth="29040" windowHeight="15720" firstSheet="1" activeTab="1" xr2:uid="{00000000-000D-0000-FFFF-FFFF00000000}"/>
  </bookViews>
  <sheets>
    <sheet name="Planejado 2023-2" sheetId="6" state="hidden" r:id="rId1"/>
    <sheet name="Planejado 2024-1" sheetId="8" r:id="rId2"/>
    <sheet name="2º SEMESTRE 2023" sheetId="2" state="hidden" r:id="rId3"/>
    <sheet name="1º SEMESTRE 2024" sheetId="3" r:id="rId4"/>
    <sheet name="RESUMO" sheetId="4" r:id="rId5"/>
  </sheets>
  <externalReferences>
    <externalReference r:id="rId6"/>
  </externalReferences>
  <definedNames>
    <definedName name="__xlnm_Print_Area_1" localSheetId="3">#REF!</definedName>
    <definedName name="__xlnm_Print_Area_1" localSheetId="0">#REF!</definedName>
    <definedName name="__xlnm_Print_Area_1" localSheetId="1">#REF!</definedName>
    <definedName name="__xlnm_Print_Area_1" localSheetId="4">#REF!</definedName>
    <definedName name="__xlnm_Print_Area_1">#REF!</definedName>
    <definedName name="_xlnm.Print_Area" localSheetId="3">'1º SEMESTRE 2024'!$A$1:$M$51</definedName>
    <definedName name="_xlnm.Print_Area" localSheetId="4">RESUMO!$A$1:$J$19</definedName>
    <definedName name="_xlnm.Print_Titles" localSheetId="3">'1º SEMESTRE 2024'!$1:$2</definedName>
    <definedName name="_xlnm.Print_Titles" localSheetId="2">'2º SEMESTRE 2023'!$1:$2</definedName>
    <definedName name="_xlnm.Print_Titles" localSheetId="0">'Planejado 2023-2'!$1:$2</definedName>
    <definedName name="_xlnm.Print_Titles" localSheetId="1">'Planejado 2024-1'!$1:$2</definedName>
    <definedName name="_xlnm.Print_Titles" localSheetId="4">RESUMO!$2:$2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3" i="3" l="1"/>
  <c r="I32" i="3"/>
  <c r="F28" i="2" l="1"/>
  <c r="F28" i="3"/>
  <c r="F15" i="3"/>
  <c r="F14" i="3"/>
  <c r="F13" i="3"/>
  <c r="F12" i="3"/>
  <c r="F31" i="2"/>
  <c r="F30" i="2"/>
  <c r="F29" i="2"/>
  <c r="F27" i="2"/>
  <c r="F26" i="2"/>
  <c r="F25" i="2"/>
  <c r="F24" i="2"/>
  <c r="C37" i="8"/>
  <c r="H34" i="8"/>
  <c r="G34" i="8"/>
  <c r="F34" i="8"/>
  <c r="E34" i="8"/>
  <c r="D34" i="8"/>
  <c r="C34" i="8"/>
  <c r="F21" i="8"/>
  <c r="D21" i="8"/>
  <c r="C21" i="8"/>
  <c r="D20" i="8"/>
  <c r="C20" i="8"/>
  <c r="C12" i="8"/>
  <c r="D12" i="8"/>
  <c r="D10" i="8"/>
  <c r="C10" i="8"/>
  <c r="D9" i="8"/>
  <c r="C9" i="8"/>
  <c r="G12" i="6"/>
  <c r="F9" i="3"/>
  <c r="H35" i="6"/>
  <c r="G35" i="6"/>
  <c r="H12" i="6"/>
  <c r="I32" i="2"/>
  <c r="J32" i="8"/>
  <c r="F24" i="3"/>
  <c r="F25" i="3"/>
  <c r="F26" i="3"/>
  <c r="F27" i="3"/>
  <c r="J27" i="3" s="1"/>
  <c r="F29" i="3"/>
  <c r="F30" i="3"/>
  <c r="F31" i="3"/>
  <c r="F17" i="3"/>
  <c r="F18" i="3"/>
  <c r="F19" i="3"/>
  <c r="F20" i="3"/>
  <c r="F21" i="3"/>
  <c r="J21" i="3" s="1"/>
  <c r="F22" i="3"/>
  <c r="F3" i="3"/>
  <c r="F4" i="3"/>
  <c r="F5" i="3"/>
  <c r="F6" i="3"/>
  <c r="F7" i="3"/>
  <c r="F8" i="3"/>
  <c r="F10" i="3"/>
  <c r="J10" i="3" s="1"/>
  <c r="G35" i="3"/>
  <c r="C10" i="4" s="1"/>
  <c r="H35" i="3"/>
  <c r="C15" i="4" s="1"/>
  <c r="G35" i="2"/>
  <c r="B10" i="4"/>
  <c r="H35" i="2"/>
  <c r="B15" i="4"/>
  <c r="F17" i="2"/>
  <c r="F18" i="2"/>
  <c r="L18" i="2" s="1"/>
  <c r="F19" i="2"/>
  <c r="F20" i="2"/>
  <c r="F21" i="2"/>
  <c r="F22" i="2"/>
  <c r="F12" i="2"/>
  <c r="F13" i="2"/>
  <c r="F14" i="2"/>
  <c r="F15" i="2"/>
  <c r="J15" i="2" s="1"/>
  <c r="F5" i="2"/>
  <c r="F6" i="2"/>
  <c r="F7" i="2"/>
  <c r="F8" i="2"/>
  <c r="K8" i="2" s="1"/>
  <c r="F9" i="2"/>
  <c r="F10" i="2"/>
  <c r="I34" i="8"/>
  <c r="C11" i="4"/>
  <c r="J4" i="6"/>
  <c r="F4" i="2" s="1"/>
  <c r="J3" i="6"/>
  <c r="F3" i="2" s="1"/>
  <c r="H28" i="8"/>
  <c r="G28" i="8"/>
  <c r="I28" i="8"/>
  <c r="E28" i="3" s="1"/>
  <c r="H27" i="8"/>
  <c r="G27" i="8"/>
  <c r="H24" i="8"/>
  <c r="H32" i="8" s="1"/>
  <c r="H35" i="8" s="1"/>
  <c r="H38" i="8" s="1"/>
  <c r="G24" i="8"/>
  <c r="G32" i="8" s="1"/>
  <c r="G35" i="8" s="1"/>
  <c r="G38" i="8" s="1"/>
  <c r="H22" i="8"/>
  <c r="G22" i="8"/>
  <c r="H18" i="8"/>
  <c r="G18" i="8"/>
  <c r="H17" i="8"/>
  <c r="G17" i="8"/>
  <c r="H15" i="8"/>
  <c r="G15" i="8"/>
  <c r="H14" i="8"/>
  <c r="G14" i="8"/>
  <c r="H13" i="8"/>
  <c r="G13" i="8"/>
  <c r="H7" i="8"/>
  <c r="G7" i="8"/>
  <c r="H3" i="8"/>
  <c r="G3" i="8"/>
  <c r="H37" i="8"/>
  <c r="G37" i="8"/>
  <c r="F27" i="8"/>
  <c r="E27" i="8"/>
  <c r="F24" i="8"/>
  <c r="E24" i="8"/>
  <c r="F22" i="8"/>
  <c r="E22" i="8"/>
  <c r="F18" i="8"/>
  <c r="E18" i="8"/>
  <c r="F17" i="8"/>
  <c r="E17" i="8"/>
  <c r="E32" i="8" s="1"/>
  <c r="E35" i="8" s="1"/>
  <c r="E38" i="8" s="1"/>
  <c r="F15" i="8"/>
  <c r="E15" i="8"/>
  <c r="F14" i="8"/>
  <c r="E14" i="8"/>
  <c r="F13" i="8"/>
  <c r="I13" i="8"/>
  <c r="E13" i="3" s="1"/>
  <c r="E13" i="8"/>
  <c r="F7" i="8"/>
  <c r="E7" i="8"/>
  <c r="F3" i="8"/>
  <c r="E3" i="8"/>
  <c r="F37" i="8"/>
  <c r="E37" i="8"/>
  <c r="D27" i="8"/>
  <c r="C27" i="8"/>
  <c r="I27" i="8" s="1"/>
  <c r="E27" i="3" s="1"/>
  <c r="L27" i="3" s="1"/>
  <c r="D24" i="8"/>
  <c r="I24" i="8" s="1"/>
  <c r="C24" i="8"/>
  <c r="D22" i="8"/>
  <c r="C22" i="8"/>
  <c r="D18" i="8"/>
  <c r="I18" i="8" s="1"/>
  <c r="E18" i="3" s="1"/>
  <c r="C18" i="8"/>
  <c r="D17" i="8"/>
  <c r="C17" i="8"/>
  <c r="I17" i="8" s="1"/>
  <c r="E17" i="3" s="1"/>
  <c r="L17" i="3" s="1"/>
  <c r="D15" i="8"/>
  <c r="C15" i="8"/>
  <c r="D14" i="8"/>
  <c r="C14" i="8"/>
  <c r="I14" i="8" s="1"/>
  <c r="E14" i="3" s="1"/>
  <c r="D13" i="8"/>
  <c r="C13" i="8"/>
  <c r="D7" i="8"/>
  <c r="I7" i="8"/>
  <c r="E7" i="3" s="1"/>
  <c r="C7" i="8"/>
  <c r="D3" i="8"/>
  <c r="I3" i="8" s="1"/>
  <c r="E3" i="3" s="1"/>
  <c r="D37" i="8"/>
  <c r="I30" i="8"/>
  <c r="E30" i="3"/>
  <c r="K30" i="3" s="1"/>
  <c r="H24" i="6"/>
  <c r="H22" i="6"/>
  <c r="H27" i="6"/>
  <c r="H32" i="6" s="1"/>
  <c r="H36" i="6" s="1"/>
  <c r="H39" i="6" s="1"/>
  <c r="G27" i="6"/>
  <c r="G24" i="6"/>
  <c r="G22" i="6"/>
  <c r="H21" i="6"/>
  <c r="G21" i="6"/>
  <c r="H20" i="6"/>
  <c r="G20" i="6"/>
  <c r="H18" i="6"/>
  <c r="G18" i="6"/>
  <c r="H17" i="6"/>
  <c r="G17" i="6"/>
  <c r="G32" i="6" s="1"/>
  <c r="G36" i="6" s="1"/>
  <c r="G39" i="6" s="1"/>
  <c r="H15" i="6"/>
  <c r="G15" i="6"/>
  <c r="H14" i="6"/>
  <c r="G14" i="6"/>
  <c r="H13" i="6"/>
  <c r="G13" i="6"/>
  <c r="H10" i="6"/>
  <c r="G10" i="6"/>
  <c r="H9" i="6"/>
  <c r="G9" i="6"/>
  <c r="H7" i="6"/>
  <c r="G7" i="6"/>
  <c r="I7" i="6" s="1"/>
  <c r="E7" i="2" s="1"/>
  <c r="H38" i="6"/>
  <c r="G38" i="6"/>
  <c r="F38" i="6"/>
  <c r="F35" i="6"/>
  <c r="E35" i="6"/>
  <c r="E30" i="6"/>
  <c r="F27" i="6"/>
  <c r="E27" i="6"/>
  <c r="E32" i="6" s="1"/>
  <c r="E36" i="6" s="1"/>
  <c r="E39" i="6" s="1"/>
  <c r="F24" i="6"/>
  <c r="I24" i="6" s="1"/>
  <c r="E24" i="6"/>
  <c r="F22" i="6"/>
  <c r="E22" i="6"/>
  <c r="F21" i="6"/>
  <c r="E21" i="6"/>
  <c r="F20" i="6"/>
  <c r="E20" i="6"/>
  <c r="F18" i="6"/>
  <c r="E18" i="6"/>
  <c r="F17" i="6"/>
  <c r="E17" i="6"/>
  <c r="F15" i="6"/>
  <c r="E15" i="6"/>
  <c r="F14" i="6"/>
  <c r="E14" i="6"/>
  <c r="F13" i="6"/>
  <c r="E13" i="6"/>
  <c r="F12" i="6"/>
  <c r="E12" i="6"/>
  <c r="F10" i="6"/>
  <c r="E10" i="6"/>
  <c r="F9" i="6"/>
  <c r="E9" i="6"/>
  <c r="F7" i="6"/>
  <c r="E7" i="6"/>
  <c r="F3" i="6"/>
  <c r="E3" i="6"/>
  <c r="E38" i="6"/>
  <c r="C9" i="6"/>
  <c r="C35" i="6"/>
  <c r="I35" i="6" s="1"/>
  <c r="B11" i="4" s="1"/>
  <c r="C28" i="6"/>
  <c r="C32" i="6" s="1"/>
  <c r="C36" i="6" s="1"/>
  <c r="C39" i="6" s="1"/>
  <c r="D38" i="6"/>
  <c r="C38" i="6"/>
  <c r="D35" i="6"/>
  <c r="D27" i="6"/>
  <c r="C27" i="6"/>
  <c r="D24" i="6"/>
  <c r="C24" i="6"/>
  <c r="D22" i="6"/>
  <c r="I22" i="6" s="1"/>
  <c r="E22" i="2" s="1"/>
  <c r="L22" i="2" s="1"/>
  <c r="C22" i="6"/>
  <c r="D21" i="6"/>
  <c r="C21" i="6"/>
  <c r="D20" i="6"/>
  <c r="I20" i="6" s="1"/>
  <c r="E20" i="2" s="1"/>
  <c r="C20" i="6"/>
  <c r="D18" i="6"/>
  <c r="C18" i="6"/>
  <c r="D17" i="6"/>
  <c r="I17" i="6" s="1"/>
  <c r="E17" i="2" s="1"/>
  <c r="C17" i="6"/>
  <c r="D15" i="6"/>
  <c r="C15" i="6"/>
  <c r="D14" i="6"/>
  <c r="I14" i="6" s="1"/>
  <c r="E14" i="2" s="1"/>
  <c r="C14" i="6"/>
  <c r="D13" i="6"/>
  <c r="C13" i="6"/>
  <c r="D12" i="6"/>
  <c r="I12" i="6" s="1"/>
  <c r="E12" i="2" s="1"/>
  <c r="C12" i="6"/>
  <c r="D10" i="6"/>
  <c r="C10" i="6"/>
  <c r="D9" i="6"/>
  <c r="I9" i="6" s="1"/>
  <c r="E9" i="2" s="1"/>
  <c r="D7" i="6"/>
  <c r="C7" i="6"/>
  <c r="D3" i="6"/>
  <c r="C3" i="6"/>
  <c r="I3" i="6" s="1"/>
  <c r="E3" i="2" s="1"/>
  <c r="I15" i="8"/>
  <c r="E15" i="3" s="1"/>
  <c r="I22" i="8"/>
  <c r="E22" i="3" s="1"/>
  <c r="D32" i="6"/>
  <c r="D36" i="6" s="1"/>
  <c r="D39" i="6" s="1"/>
  <c r="F32" i="6"/>
  <c r="F36" i="6" s="1"/>
  <c r="F39" i="6" s="1"/>
  <c r="I30" i="6"/>
  <c r="E30" i="2" s="1"/>
  <c r="I27" i="6"/>
  <c r="E27" i="2" s="1"/>
  <c r="I21" i="6"/>
  <c r="E21" i="2" s="1"/>
  <c r="I10" i="6"/>
  <c r="E10" i="2" s="1"/>
  <c r="J12" i="2"/>
  <c r="J13" i="2"/>
  <c r="J14" i="2"/>
  <c r="I23" i="2"/>
  <c r="I18" i="6"/>
  <c r="E18" i="2"/>
  <c r="I13" i="6"/>
  <c r="E13" i="2" s="1"/>
  <c r="I15" i="6"/>
  <c r="E15" i="2" s="1"/>
  <c r="K31" i="3"/>
  <c r="J29" i="3"/>
  <c r="J31" i="2"/>
  <c r="J24" i="2"/>
  <c r="J17" i="2"/>
  <c r="J25" i="2"/>
  <c r="J3" i="3"/>
  <c r="J31" i="3"/>
  <c r="J30" i="3"/>
  <c r="J28" i="3"/>
  <c r="J26" i="3"/>
  <c r="J25" i="3"/>
  <c r="J24" i="3"/>
  <c r="I23" i="3"/>
  <c r="J22" i="3"/>
  <c r="J20" i="3"/>
  <c r="J19" i="3"/>
  <c r="J18" i="3"/>
  <c r="J17" i="3"/>
  <c r="I16" i="3"/>
  <c r="J15" i="3"/>
  <c r="J14" i="3"/>
  <c r="J13" i="3"/>
  <c r="J12" i="3"/>
  <c r="I11" i="3"/>
  <c r="J9" i="3"/>
  <c r="J8" i="3"/>
  <c r="J7" i="3"/>
  <c r="J6" i="3"/>
  <c r="J5" i="3"/>
  <c r="J4" i="3"/>
  <c r="I16" i="2"/>
  <c r="I11" i="2"/>
  <c r="J30" i="2"/>
  <c r="J29" i="2"/>
  <c r="J26" i="2"/>
  <c r="J27" i="2"/>
  <c r="L19" i="2"/>
  <c r="K19" i="2"/>
  <c r="J18" i="2"/>
  <c r="J23" i="2" s="1"/>
  <c r="J22" i="2"/>
  <c r="J21" i="2"/>
  <c r="J20" i="2"/>
  <c r="J19" i="2"/>
  <c r="M19" i="2" s="1"/>
  <c r="J8" i="2"/>
  <c r="J7" i="2"/>
  <c r="J6" i="2"/>
  <c r="J5" i="2"/>
  <c r="J9" i="2"/>
  <c r="J10" i="2"/>
  <c r="I33" i="2"/>
  <c r="D11" i="4" l="1"/>
  <c r="D32" i="8"/>
  <c r="D35" i="8" s="1"/>
  <c r="D38" i="8" s="1"/>
  <c r="I20" i="8"/>
  <c r="F32" i="8"/>
  <c r="F35" i="8" s="1"/>
  <c r="F38" i="8" s="1"/>
  <c r="I21" i="8"/>
  <c r="E21" i="3" s="1"/>
  <c r="C32" i="8"/>
  <c r="C35" i="8" s="1"/>
  <c r="C38" i="8" s="1"/>
  <c r="K14" i="3"/>
  <c r="L14" i="3"/>
  <c r="K14" i="2"/>
  <c r="L14" i="2"/>
  <c r="K6" i="3"/>
  <c r="K3" i="3"/>
  <c r="L5" i="3"/>
  <c r="M5" i="3" s="1"/>
  <c r="L3" i="3"/>
  <c r="K5" i="3"/>
  <c r="L4" i="3"/>
  <c r="K4" i="3"/>
  <c r="M4" i="3" s="1"/>
  <c r="L6" i="3"/>
  <c r="K22" i="3"/>
  <c r="M22" i="3" s="1"/>
  <c r="L22" i="3"/>
  <c r="L9" i="2"/>
  <c r="K9" i="2"/>
  <c r="L29" i="3"/>
  <c r="K29" i="3"/>
  <c r="K28" i="3"/>
  <c r="M28" i="3" s="1"/>
  <c r="L28" i="3"/>
  <c r="M22" i="2"/>
  <c r="L15" i="3"/>
  <c r="K15" i="3"/>
  <c r="E24" i="2"/>
  <c r="L8" i="3"/>
  <c r="K8" i="3"/>
  <c r="L7" i="3"/>
  <c r="K7" i="3"/>
  <c r="K22" i="2"/>
  <c r="K17" i="3"/>
  <c r="M17" i="3" s="1"/>
  <c r="M17" i="2"/>
  <c r="K30" i="2"/>
  <c r="L31" i="2"/>
  <c r="M31" i="2" s="1"/>
  <c r="K31" i="2"/>
  <c r="L30" i="2"/>
  <c r="L20" i="2"/>
  <c r="K20" i="2"/>
  <c r="M20" i="2" s="1"/>
  <c r="L15" i="2"/>
  <c r="K15" i="2"/>
  <c r="K10" i="2"/>
  <c r="L10" i="2"/>
  <c r="L6" i="2"/>
  <c r="K6" i="2"/>
  <c r="M6" i="2" s="1"/>
  <c r="L5" i="2"/>
  <c r="K5" i="2"/>
  <c r="L4" i="2"/>
  <c r="L3" i="2"/>
  <c r="K12" i="2"/>
  <c r="L12" i="2"/>
  <c r="L16" i="2" s="1"/>
  <c r="K17" i="2"/>
  <c r="L17" i="2"/>
  <c r="L23" i="2" s="1"/>
  <c r="L7" i="2"/>
  <c r="L8" i="2"/>
  <c r="M8" i="2" s="1"/>
  <c r="K7" i="2"/>
  <c r="K13" i="3"/>
  <c r="M13" i="3" s="1"/>
  <c r="L13" i="3"/>
  <c r="M15" i="2"/>
  <c r="M14" i="2"/>
  <c r="K21" i="2"/>
  <c r="M21" i="2" s="1"/>
  <c r="L21" i="2"/>
  <c r="K3" i="2"/>
  <c r="J3" i="2"/>
  <c r="E24" i="3"/>
  <c r="M5" i="2"/>
  <c r="K13" i="2"/>
  <c r="L13" i="2"/>
  <c r="M7" i="2"/>
  <c r="L27" i="2"/>
  <c r="K27" i="2"/>
  <c r="M27" i="2" s="1"/>
  <c r="M30" i="3"/>
  <c r="K19" i="3"/>
  <c r="K18" i="3"/>
  <c r="M18" i="3" s="1"/>
  <c r="L18" i="3"/>
  <c r="L19" i="3"/>
  <c r="K4" i="2"/>
  <c r="J4" i="2"/>
  <c r="M4" i="2" s="1"/>
  <c r="F35" i="2"/>
  <c r="B14" i="4" s="1"/>
  <c r="K27" i="3"/>
  <c r="M27" i="3" s="1"/>
  <c r="L30" i="3"/>
  <c r="I9" i="8"/>
  <c r="E9" i="3" s="1"/>
  <c r="K9" i="3" s="1"/>
  <c r="M7" i="3"/>
  <c r="J32" i="2"/>
  <c r="L31" i="3"/>
  <c r="M31" i="3" s="1"/>
  <c r="J32" i="6"/>
  <c r="I28" i="6"/>
  <c r="E28" i="2" s="1"/>
  <c r="I10" i="8"/>
  <c r="E10" i="3" s="1"/>
  <c r="K10" i="3" s="1"/>
  <c r="M15" i="3"/>
  <c r="J32" i="3"/>
  <c r="F35" i="3"/>
  <c r="C14" i="4" s="1"/>
  <c r="C16" i="4" s="1"/>
  <c r="D10" i="4"/>
  <c r="J16" i="2"/>
  <c r="K18" i="2"/>
  <c r="M18" i="2" s="1"/>
  <c r="M14" i="3"/>
  <c r="M19" i="3"/>
  <c r="M6" i="3"/>
  <c r="E20" i="3"/>
  <c r="L21" i="3"/>
  <c r="K21" i="3"/>
  <c r="I12" i="8"/>
  <c r="E12" i="3" s="1"/>
  <c r="J16" i="3"/>
  <c r="J23" i="3"/>
  <c r="J11" i="3"/>
  <c r="M3" i="3"/>
  <c r="D15" i="4"/>
  <c r="L10" i="3" l="1"/>
  <c r="M21" i="3"/>
  <c r="M10" i="3"/>
  <c r="L9" i="3"/>
  <c r="M9" i="3" s="1"/>
  <c r="M11" i="3" s="1"/>
  <c r="C3" i="4" s="1"/>
  <c r="L29" i="2"/>
  <c r="K29" i="2"/>
  <c r="M29" i="2" s="1"/>
  <c r="D14" i="4"/>
  <c r="D16" i="4" s="1"/>
  <c r="B16" i="4"/>
  <c r="I32" i="8"/>
  <c r="I35" i="8" s="1"/>
  <c r="I38" i="8" s="1"/>
  <c r="K16" i="2"/>
  <c r="M10" i="2"/>
  <c r="M30" i="2"/>
  <c r="M8" i="3"/>
  <c r="M23" i="2"/>
  <c r="B5" i="4" s="1"/>
  <c r="J11" i="2"/>
  <c r="M3" i="2"/>
  <c r="I32" i="6"/>
  <c r="I36" i="6" s="1"/>
  <c r="I39" i="6" s="1"/>
  <c r="M29" i="3"/>
  <c r="J33" i="2"/>
  <c r="K11" i="2"/>
  <c r="L11" i="2"/>
  <c r="K24" i="2"/>
  <c r="L26" i="2"/>
  <c r="L25" i="2"/>
  <c r="K26" i="2"/>
  <c r="M26" i="2" s="1"/>
  <c r="K25" i="2"/>
  <c r="M25" i="2" s="1"/>
  <c r="E35" i="2"/>
  <c r="B9" i="4" s="1"/>
  <c r="B12" i="4" s="1"/>
  <c r="L24" i="2"/>
  <c r="L32" i="2" s="1"/>
  <c r="L33" i="2" s="1"/>
  <c r="J33" i="3"/>
  <c r="M13" i="2"/>
  <c r="M12" i="2"/>
  <c r="M16" i="2" s="1"/>
  <c r="B4" i="4" s="1"/>
  <c r="L24" i="3"/>
  <c r="L32" i="3" s="1"/>
  <c r="K26" i="3"/>
  <c r="M26" i="3" s="1"/>
  <c r="K25" i="3"/>
  <c r="M25" i="3" s="1"/>
  <c r="K24" i="3"/>
  <c r="L26" i="3"/>
  <c r="L25" i="3"/>
  <c r="K23" i="2"/>
  <c r="M9" i="2"/>
  <c r="K11" i="3"/>
  <c r="L20" i="3"/>
  <c r="L23" i="3" s="1"/>
  <c r="K20" i="3"/>
  <c r="E35" i="3"/>
  <c r="C9" i="4" s="1"/>
  <c r="L12" i="3"/>
  <c r="L16" i="3" s="1"/>
  <c r="K12" i="3"/>
  <c r="L11" i="3" l="1"/>
  <c r="K32" i="3"/>
  <c r="M24" i="3"/>
  <c r="M32" i="3" s="1"/>
  <c r="C6" i="4" s="1"/>
  <c r="M11" i="2"/>
  <c r="B3" i="4" s="1"/>
  <c r="D3" i="4"/>
  <c r="M24" i="2"/>
  <c r="M32" i="2" s="1"/>
  <c r="K32" i="2"/>
  <c r="K33" i="2" s="1"/>
  <c r="L33" i="3"/>
  <c r="K16" i="3"/>
  <c r="M12" i="3"/>
  <c r="D9" i="4"/>
  <c r="D12" i="4" s="1"/>
  <c r="C12" i="4"/>
  <c r="M20" i="3"/>
  <c r="M23" i="3" s="1"/>
  <c r="K23" i="3"/>
  <c r="K33" i="3" l="1"/>
  <c r="B6" i="4"/>
  <c r="M33" i="2"/>
  <c r="M16" i="3"/>
  <c r="C4" i="4" s="1"/>
  <c r="D4" i="4" s="1"/>
  <c r="C5" i="4"/>
  <c r="M33" i="3" l="1"/>
  <c r="B7" i="4"/>
  <c r="D6" i="4"/>
  <c r="D5" i="4"/>
  <c r="C7" i="4"/>
  <c r="D7" i="4" l="1"/>
  <c r="G1" i="4"/>
  <c r="J1" i="4" s="1"/>
</calcChain>
</file>

<file path=xl/sharedStrings.xml><?xml version="1.0" encoding="utf-8"?>
<sst xmlns="http://schemas.openxmlformats.org/spreadsheetml/2006/main" count="360" uniqueCount="152">
  <si>
    <t>Código Unidade</t>
  </si>
  <si>
    <t>Unidade Executora</t>
  </si>
  <si>
    <t>Código Serviço</t>
  </si>
  <si>
    <t xml:space="preserve">Serviço </t>
  </si>
  <si>
    <t>Quantidade Planejada</t>
  </si>
  <si>
    <t>CISF</t>
  </si>
  <si>
    <t>Centro de Idosos Sagrada Família</t>
  </si>
  <si>
    <t>S1</t>
  </si>
  <si>
    <t>Acolhimento Institucional (ILPI)</t>
  </si>
  <si>
    <t>S2</t>
  </si>
  <si>
    <t>Acolhimento Institucional (Casa Lar)</t>
  </si>
  <si>
    <t>S3</t>
  </si>
  <si>
    <t>Proteção Social Especial para Pessoas Idosas (Centro Dia)</t>
  </si>
  <si>
    <t>S4</t>
  </si>
  <si>
    <t>Convivência e Fortalecimento de Vínculos</t>
  </si>
  <si>
    <t>CIVV</t>
  </si>
  <si>
    <t>Centro de Idosos Vila Vida</t>
  </si>
  <si>
    <t>S5</t>
  </si>
  <si>
    <t>S6</t>
  </si>
  <si>
    <t>EBV I</t>
  </si>
  <si>
    <t>Espaço Bem Viver I</t>
  </si>
  <si>
    <t>S7</t>
  </si>
  <si>
    <t>EBV II</t>
  </si>
  <si>
    <t>Espaço Bem Viver II</t>
  </si>
  <si>
    <t>S8</t>
  </si>
  <si>
    <t>PJTF</t>
  </si>
  <si>
    <t>Programa Juventude Tecendo o Futuro</t>
  </si>
  <si>
    <t>S9</t>
  </si>
  <si>
    <t>Convivência e Fortalecimento de Vínculos e Integração ao Mundo do Trabalho</t>
  </si>
  <si>
    <t>PML</t>
  </si>
  <si>
    <t>Programa Meninas de Luz</t>
  </si>
  <si>
    <t>S10</t>
  </si>
  <si>
    <t xml:space="preserve">Convivência e Fortalecimento de Vínculos e Integração ao Mundo do Trabalho </t>
  </si>
  <si>
    <t>PROBEM</t>
  </si>
  <si>
    <t xml:space="preserve">Programa Universitário do Bem </t>
  </si>
  <si>
    <t>S11</t>
  </si>
  <si>
    <t>Ações de Promoção do Protagonismo Juvenil e Integração ao Mundo do Trabalho.</t>
  </si>
  <si>
    <t>PJT</t>
  </si>
  <si>
    <t>Programa Jovens Talentos</t>
  </si>
  <si>
    <t>S12</t>
  </si>
  <si>
    <t>Ações de Promoção do Protagonismo Juvenil e Integração ao Mundo do Trabalho</t>
  </si>
  <si>
    <t>GEDS</t>
  </si>
  <si>
    <t>Gerência de Enfrentamento às Desproteções Sociais</t>
  </si>
  <si>
    <t>S13</t>
  </si>
  <si>
    <t>Ações itinerantes de enfrentamento às desproteções sociais com atuação direta da equipe técnica junto às famílias</t>
  </si>
  <si>
    <t>GBS</t>
  </si>
  <si>
    <t>Gerência de Benefícios Sociais</t>
  </si>
  <si>
    <t>S14</t>
  </si>
  <si>
    <t>Apoio, assistência e benefício socioassistencial eventual aos cidadãos</t>
  </si>
  <si>
    <t>S15</t>
  </si>
  <si>
    <t>Apoio a entidades sociais</t>
  </si>
  <si>
    <t>CIGO</t>
  </si>
  <si>
    <t>Casa do Interior de Goiás</t>
  </si>
  <si>
    <t>S16</t>
  </si>
  <si>
    <t>Acolhimento Institucional Provisório</t>
  </si>
  <si>
    <t>RB</t>
  </si>
  <si>
    <t>Programa Restaurante do Bem</t>
  </si>
  <si>
    <t>S17</t>
  </si>
  <si>
    <t>Refeições servidas nas unidades</t>
  </si>
  <si>
    <t>BA</t>
  </si>
  <si>
    <t>Programa Banco de Alimentos</t>
  </si>
  <si>
    <t>S18</t>
  </si>
  <si>
    <t>Alimentos (desidratados, minimamente processados e Mix do Bem) repassados às famílias e/ou entidades sociais</t>
  </si>
  <si>
    <t>GVPS</t>
  </si>
  <si>
    <t>Gerência de Voluntariado e Parcerias Sociais</t>
  </si>
  <si>
    <t>S19</t>
  </si>
  <si>
    <t>Mobilização de pessoas para atuação voluntária</t>
  </si>
  <si>
    <t>S20</t>
  </si>
  <si>
    <t>Ações de promoção do voluntariado e parcerias sociais</t>
  </si>
  <si>
    <t>S21</t>
  </si>
  <si>
    <t>Assessoramento e capacitação de entidades sociais</t>
  </si>
  <si>
    <t>GGSA</t>
  </si>
  <si>
    <t>Gerência de Gestão Social e Avaliação</t>
  </si>
  <si>
    <t>S22</t>
  </si>
  <si>
    <t>Ações realizadas em municípios ativos na rede</t>
  </si>
  <si>
    <t>CAR</t>
  </si>
  <si>
    <t>Centro de Apoio ao Romeiro</t>
  </si>
  <si>
    <t>S23</t>
  </si>
  <si>
    <t>Apoio ao Romeiro de Trindade</t>
  </si>
  <si>
    <t>S24</t>
  </si>
  <si>
    <t>Apoio ao Romeiro de Muquém</t>
  </si>
  <si>
    <t>NATAL DO BEM</t>
  </si>
  <si>
    <t>S25</t>
  </si>
  <si>
    <t>Crianças beneficiadas com brinquedo</t>
  </si>
  <si>
    <t>S26</t>
  </si>
  <si>
    <t>Visitantes na Vila do Papai Noel</t>
  </si>
  <si>
    <t>Quantidade Realizada</t>
  </si>
  <si>
    <t>PLANO DE TRABALHO - 22º TERMO ADITIVO - 2º SEMESTRE 2023</t>
  </si>
  <si>
    <t>Eficácia</t>
  </si>
  <si>
    <t>Economicidade</t>
  </si>
  <si>
    <t>Total</t>
  </si>
  <si>
    <t>Qualidade (%)</t>
  </si>
  <si>
    <t>PLANO DE TRABALHO - 22º TERMO ADITIVO - 1º SEMESTRE 2024</t>
  </si>
  <si>
    <t>2º Semestre 2023</t>
  </si>
  <si>
    <t>1º Semestre 2024</t>
  </si>
  <si>
    <t>IDI - ÍNDICE DE DESEMPENHO INSTITUCIONAL = (EIXO 1 + EIXO 2 + EIXO 3 + EIXO 4) / 4</t>
  </si>
  <si>
    <t>EIXO 4: IRVIPS - Índice da Rede de Voluntariado, Investimento e Parcerias Sociais = (S19 + S20 + S21 + S22 + S23 + S24 + S25 + S26) / 8</t>
  </si>
  <si>
    <t>EIXO 3: IPSFISVS - Índice de Proteção Social às Famílias e Indivíduos em Situação de Vulnerabilidade Social = (S13 + S14 + S15 + S16 + S17 + S18) / 6</t>
  </si>
  <si>
    <t>EIXO 2: IPSAJIMT - Índice de Proteção Social ao Adolescente e Jovem e Integração ao Mundo do Trabalho = (S9 + S10 + S11 + S12) / 4</t>
  </si>
  <si>
    <t>EIXO 1: IPSI - Índice de Proteção Social ao Idoso = (S1 + S2 + S3 + S4 + S5 + S6 + S7 + S8) / 8</t>
  </si>
  <si>
    <t>PLANO DE TRABALHO - 22º TERMO ADITIVO</t>
  </si>
  <si>
    <t>Totais (R$)</t>
  </si>
  <si>
    <t>Despesa 
Planejada</t>
  </si>
  <si>
    <t>Despesa 
Realizada</t>
  </si>
  <si>
    <t>DESEMPENHO DOS SERVIÇOS</t>
  </si>
  <si>
    <t>Indicador</t>
  </si>
  <si>
    <t>Despesas planejadas</t>
  </si>
  <si>
    <t>Despesas realizadas</t>
  </si>
  <si>
    <t>JULHO</t>
  </si>
  <si>
    <t>AGOSTO</t>
  </si>
  <si>
    <t>SETEMBRO</t>
  </si>
  <si>
    <t>OUTUBRO</t>
  </si>
  <si>
    <t>NOVEMBRO</t>
  </si>
  <si>
    <t>DEZEMBRO</t>
  </si>
  <si>
    <t>TOTAL</t>
  </si>
  <si>
    <t>PREVISÃO DE DESPESAS E QUANTITATIVOS - 22º TERMO ADITIVO - 2º SEMESTRE 2023</t>
  </si>
  <si>
    <t>CJTF - PJTF</t>
  </si>
  <si>
    <t>CJTF - PML</t>
  </si>
  <si>
    <t>GPIMT - PJT</t>
  </si>
  <si>
    <t>SOMA</t>
  </si>
  <si>
    <t>Planilha</t>
  </si>
  <si>
    <t>DIFERENÇA</t>
  </si>
  <si>
    <t>PREVISÃO DE DESPESAS E QUANTITATIVOS - 22º TERMO ADITIVO - 1º SEMESTRE 2024</t>
  </si>
  <si>
    <t>JANEIRO</t>
  </si>
  <si>
    <t>FEVEREIRO</t>
  </si>
  <si>
    <t>MARÇO</t>
  </si>
  <si>
    <t>ABRIL</t>
  </si>
  <si>
    <t>MAIO</t>
  </si>
  <si>
    <t>JUNHO</t>
  </si>
  <si>
    <t>Quantidades planejadas</t>
  </si>
  <si>
    <t>Quantidades realizadas</t>
  </si>
  <si>
    <t>Totais</t>
  </si>
  <si>
    <t>IDI - ÍNDICE DE DESEMPENHO INSTITUCIONAL</t>
  </si>
  <si>
    <t>IPSI - Índice de Proteção Social ao Idoso</t>
  </si>
  <si>
    <t>IPSAJIMT - Índice de Proteção Social ao Adolescente e Jovem e Integração ao Mundo do Trabalho</t>
  </si>
  <si>
    <t>IPSFISVS - Índice de Proteção Social às Famílias e Indivíduos em Situação de Vulnerabilidade Social</t>
  </si>
  <si>
    <t>IRVIPS - Índice da Rede de Voluntariado, Investimento e Parcerias Sociais</t>
  </si>
  <si>
    <t>Eficiência</t>
  </si>
  <si>
    <t>Nota Indicador</t>
  </si>
  <si>
    <t>Classificação de Desempenho</t>
  </si>
  <si>
    <t>DESEMPENHO DOS SERVIÇOS (%)</t>
  </si>
  <si>
    <t>Sede + CJTF II</t>
  </si>
  <si>
    <t>SEDE + CJTF II</t>
  </si>
  <si>
    <t>SEDE</t>
  </si>
  <si>
    <t>NOTAS EXPLICATIVAS</t>
  </si>
  <si>
    <t>2) A meta do Serviço de Convivência e Fortalecimento de Vínculos do Centro de Idosos Vila Vida não foi cumprida em função do pedido de desligamento do profissional de Educação Física e a diminuição da oferta de atividades físicas no 2º semestre. O assunto foi tratado nos Relatórios Gerenciais Mensais e no Relatório Gerencial Anual de Execução e impactou na dimensão Eficácia dos Indicadores de Desempenho.</t>
  </si>
  <si>
    <t>1) Segue, em anexo, a justificativa do Centro de Idosos Sagrada Família referente ao resultado da Pesquisa de Satisfação realizada com os moradores das Casas Lares, que impactou na dimensão Qualidade dos Indicadores de Desempenho da unidade.</t>
  </si>
  <si>
    <t>Natal do Bem</t>
  </si>
  <si>
    <t>OBS.: Os recursos finaceiros do CJTF II foram remanejados no 1º Semestre de 2024, após apostilamento II realizado em dezembro de 2023.</t>
  </si>
  <si>
    <t>3) Em relação às despesas do Banco de Alimentos, esclarecemos que foi ultrapassada em função da aquisição de uma quantidade maior de insumos para produção de Mix do Bem, considerando a expectativa de alta nos preços devido às enchentes no sul do país.</t>
  </si>
  <si>
    <t>2) A superação da meta da Gerência de Enfrentamento às Desproteções Sociais (GEDS) registrada nos Relatórios Gerenciais Mensais reflete o empenho e a eficácia do Programa em atender as necessidades das populações mais vulneráveis, ampliando o alcance e o impacto das ações sociais. Na mesma proporção, os recursos financeiros acompanharam, contando com recursos de períodos anteriores.</t>
  </si>
  <si>
    <t>1) As despesas acima do pactuado no Espaço Bem Viver I (EBV I) estão relacionadas às aquisições para implantação do Centro Dia, que foram previstas para serem iniciadas ainda em 2023, mas com o atraso na execução das obras, as aquisições foram realizadas no 2º trimestre de 2024, mais próximo do início das atividades, no 2º semestre de 2024. O assunto foi tratado nos Relatórios Gerenciais Mensais (abril a junho).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</si>
</sst>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R$&quot;\ * #,##0.00_-;\-&quot;R$&quot;\ * #,##0.00_-;_-&quot;R$&quot;\ * &quot;-&quot;??_-;_-@_-"/>
    <numFmt numFmtId="43" formatCode="_-* #,##0.00_-;\-* #,##0.00_-;_-* &quot;-&quot;??_-;_-@_-"/>
    <numFmt numFmtId="164" formatCode="#,##0.0"/>
    <numFmt numFmtId="165" formatCode="#,##0_ ;\-#,##0\ "/>
  </numFmts>
  <fonts count="13" x14ac:knownFonts="1">
    <font>
      <sz val="11"/>
      <color indexed="8"/>
      <name val="Calibri"/>
      <family val="2"/>
      <charset val="1"/>
    </font>
    <font>
      <b/>
      <sz val="10"/>
      <color indexed="8"/>
      <name val="Arial Narrow"/>
      <family val="2"/>
    </font>
    <font>
      <sz val="10"/>
      <color indexed="8"/>
      <name val="Arial Narrow"/>
      <family val="2"/>
    </font>
    <font>
      <b/>
      <sz val="10"/>
      <color theme="1"/>
      <name val="Arial Narrow"/>
      <family val="2"/>
    </font>
    <font>
      <sz val="10"/>
      <name val="Arial"/>
      <family val="2"/>
    </font>
    <font>
      <b/>
      <sz val="10"/>
      <name val="Arial Narrow"/>
      <family val="2"/>
    </font>
    <font>
      <sz val="10"/>
      <name val="Arial Narrow"/>
      <family val="2"/>
    </font>
    <font>
      <sz val="11"/>
      <color indexed="8"/>
      <name val="Calibri"/>
      <family val="2"/>
    </font>
    <font>
      <sz val="10"/>
      <color rgb="FFFF0000"/>
      <name val="Arial Narrow"/>
      <family val="2"/>
    </font>
    <font>
      <sz val="11"/>
      <color theme="1"/>
      <name val="Calibri"/>
      <family val="2"/>
      <scheme val="minor"/>
    </font>
    <font>
      <b/>
      <sz val="10"/>
      <name val="Arial"/>
      <family val="2"/>
    </font>
    <font>
      <b/>
      <sz val="10"/>
      <color rgb="FF000000"/>
      <name val="Arial Narrow"/>
      <family val="2"/>
    </font>
    <font>
      <b/>
      <sz val="10"/>
      <color rgb="FFFF0000"/>
      <name val="Arial Narrow"/>
      <family val="2"/>
    </font>
  </fonts>
  <fills count="5">
    <fill>
      <patternFill patternType="none"/>
    </fill>
    <fill>
      <patternFill patternType="gray125"/>
    </fill>
    <fill>
      <patternFill patternType="solid">
        <fgColor theme="0"/>
        <bgColor indexed="64"/>
      </patternFill>
    </fill>
    <fill>
      <patternFill patternType="solid">
        <fgColor theme="9" tint="0.39997558519241921"/>
        <bgColor indexed="64"/>
      </patternFill>
    </fill>
    <fill>
      <patternFill patternType="solid">
        <fgColor theme="9" tint="0.39997558519241921"/>
        <bgColor indexed="26"/>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s>
  <cellStyleXfs count="5">
    <xf numFmtId="0" fontId="0" fillId="0" borderId="0"/>
    <xf numFmtId="43" fontId="4" fillId="0" borderId="0" applyFill="0" applyBorder="0" applyAlignment="0" applyProtection="0"/>
    <xf numFmtId="44" fontId="4" fillId="0" borderId="0" applyFill="0" applyBorder="0" applyAlignment="0" applyProtection="0"/>
    <xf numFmtId="0" fontId="7" fillId="0" borderId="0"/>
    <xf numFmtId="0" fontId="9" fillId="0" borderId="0"/>
  </cellStyleXfs>
  <cellXfs count="83">
    <xf numFmtId="0" fontId="0" fillId="0" borderId="0" xfId="0"/>
    <xf numFmtId="0" fontId="2" fillId="0" borderId="0" xfId="0" applyFont="1" applyAlignment="1">
      <alignment vertical="center" wrapText="1"/>
    </xf>
    <xf numFmtId="0" fontId="2" fillId="0" borderId="0" xfId="0" applyFont="1" applyAlignment="1">
      <alignment horizontal="left" vertical="center" wrapText="1"/>
    </xf>
    <xf numFmtId="43" fontId="6" fillId="0" borderId="0" xfId="1" applyFont="1" applyAlignment="1">
      <alignment vertical="center" wrapText="1"/>
    </xf>
    <xf numFmtId="3" fontId="8" fillId="0" borderId="0" xfId="0" applyNumberFormat="1" applyFont="1" applyAlignment="1">
      <alignment vertical="center" wrapText="1"/>
    </xf>
    <xf numFmtId="0" fontId="2" fillId="0" borderId="0" xfId="0" applyFont="1" applyAlignment="1">
      <alignment horizontal="center" vertical="center" wrapText="1"/>
    </xf>
    <xf numFmtId="43" fontId="5" fillId="3" borderId="1" xfId="1" applyFont="1" applyFill="1" applyBorder="1" applyAlignment="1">
      <alignment horizontal="center" vertical="center" wrapText="1"/>
    </xf>
    <xf numFmtId="3" fontId="5" fillId="3" borderId="1" xfId="0" applyNumberFormat="1" applyFont="1" applyFill="1" applyBorder="1" applyAlignment="1">
      <alignment horizontal="center" vertical="center" wrapText="1"/>
    </xf>
    <xf numFmtId="0" fontId="3" fillId="3" borderId="1" xfId="0" applyFont="1" applyFill="1" applyBorder="1" applyAlignment="1">
      <alignment horizontal="center" vertical="center" wrapText="1"/>
    </xf>
    <xf numFmtId="43" fontId="10" fillId="3" borderId="1" xfId="1" applyFont="1" applyFill="1" applyBorder="1" applyAlignment="1">
      <alignment horizontal="right" vertical="center" wrapText="1"/>
    </xf>
    <xf numFmtId="43" fontId="6" fillId="0" borderId="1" xfId="1" applyFont="1" applyFill="1" applyBorder="1" applyAlignment="1">
      <alignment horizontal="center" vertical="center" wrapText="1"/>
    </xf>
    <xf numFmtId="0" fontId="1" fillId="3" borderId="1" xfId="0" applyFont="1" applyFill="1" applyBorder="1" applyAlignment="1">
      <alignment horizontal="center" vertical="center" wrapText="1"/>
    </xf>
    <xf numFmtId="43" fontId="5" fillId="0" borderId="1" xfId="1" applyFont="1" applyFill="1" applyBorder="1" applyAlignment="1">
      <alignment horizontal="center" vertical="center" wrapText="1"/>
    </xf>
    <xf numFmtId="43" fontId="6" fillId="0" borderId="1" xfId="1" applyFont="1" applyFill="1" applyBorder="1" applyAlignment="1">
      <alignment vertical="center" wrapText="1"/>
    </xf>
    <xf numFmtId="43" fontId="5" fillId="3" borderId="1" xfId="1" applyFont="1" applyFill="1" applyBorder="1" applyAlignment="1">
      <alignment vertical="center" wrapText="1"/>
    </xf>
    <xf numFmtId="0" fontId="5" fillId="3" borderId="1" xfId="0" applyFont="1" applyFill="1" applyBorder="1" applyAlignment="1">
      <alignment horizontal="center" vertical="center" wrapText="1"/>
    </xf>
    <xf numFmtId="0" fontId="5" fillId="3" borderId="1" xfId="3" applyFont="1" applyFill="1" applyBorder="1" applyAlignment="1">
      <alignment horizontal="center" vertical="center" wrapText="1"/>
    </xf>
    <xf numFmtId="0" fontId="5" fillId="3" borderId="1" xfId="0" applyFont="1" applyFill="1" applyBorder="1" applyAlignment="1" applyProtection="1">
      <alignment horizontal="center" vertical="center" wrapText="1"/>
      <protection hidden="1"/>
    </xf>
    <xf numFmtId="0" fontId="6" fillId="3" borderId="1" xfId="0" applyFont="1" applyFill="1" applyBorder="1" applyAlignment="1">
      <alignment horizontal="center" vertical="center" wrapText="1"/>
    </xf>
    <xf numFmtId="0" fontId="6" fillId="3" borderId="1" xfId="3" applyFont="1" applyFill="1" applyBorder="1" applyAlignment="1">
      <alignment horizontal="justify" vertical="center" wrapText="1"/>
    </xf>
    <xf numFmtId="0" fontId="6" fillId="4" borderId="1" xfId="3" applyFont="1" applyFill="1" applyBorder="1" applyAlignment="1">
      <alignment horizontal="justify" vertical="center" wrapText="1"/>
    </xf>
    <xf numFmtId="0" fontId="6" fillId="3" borderId="1" xfId="3" applyFont="1" applyFill="1" applyBorder="1" applyAlignment="1">
      <alignment horizontal="center" vertical="center" wrapText="1"/>
    </xf>
    <xf numFmtId="0" fontId="6" fillId="3" borderId="1" xfId="0" applyFont="1" applyFill="1" applyBorder="1" applyAlignment="1">
      <alignment horizontal="justify" vertical="center" wrapText="1"/>
    </xf>
    <xf numFmtId="0" fontId="6" fillId="3" borderId="1" xfId="0" applyFont="1" applyFill="1" applyBorder="1" applyAlignment="1">
      <alignment vertical="center" wrapText="1"/>
    </xf>
    <xf numFmtId="0" fontId="6" fillId="3" borderId="1" xfId="0" applyFont="1" applyFill="1" applyBorder="1" applyAlignment="1" applyProtection="1">
      <alignment horizontal="center" vertical="center" wrapText="1"/>
      <protection hidden="1"/>
    </xf>
    <xf numFmtId="0" fontId="6" fillId="3" borderId="1" xfId="0" applyFont="1" applyFill="1" applyBorder="1" applyAlignment="1">
      <alignment horizontal="left" vertical="center" wrapText="1"/>
    </xf>
    <xf numFmtId="43" fontId="5" fillId="0" borderId="1" xfId="1" applyFont="1" applyBorder="1" applyAlignment="1">
      <alignment vertical="center" wrapText="1"/>
    </xf>
    <xf numFmtId="0" fontId="1" fillId="0" borderId="0" xfId="0" applyFont="1" applyAlignment="1">
      <alignment horizontal="left" vertical="center" wrapText="1"/>
    </xf>
    <xf numFmtId="43" fontId="5" fillId="0" borderId="0" xfId="1" applyFont="1" applyAlignment="1">
      <alignment vertical="center" wrapText="1"/>
    </xf>
    <xf numFmtId="3" fontId="12" fillId="0" borderId="0" xfId="0" applyNumberFormat="1" applyFont="1" applyAlignment="1">
      <alignment vertical="center" wrapText="1"/>
    </xf>
    <xf numFmtId="0" fontId="1" fillId="0" borderId="0" xfId="0" applyFont="1" applyAlignment="1">
      <alignment vertical="center" wrapText="1"/>
    </xf>
    <xf numFmtId="3" fontId="2" fillId="0" borderId="0" xfId="0" applyNumberFormat="1" applyFont="1" applyAlignment="1">
      <alignment vertical="center" wrapText="1"/>
    </xf>
    <xf numFmtId="164" fontId="6" fillId="0" borderId="1" xfId="2" applyNumberFormat="1" applyFont="1" applyFill="1" applyBorder="1" applyAlignment="1">
      <alignment horizontal="right" vertical="center" wrapText="1"/>
    </xf>
    <xf numFmtId="164" fontId="5" fillId="0" borderId="1" xfId="2" applyNumberFormat="1" applyFont="1" applyFill="1" applyBorder="1" applyAlignment="1">
      <alignment horizontal="right" vertical="center" wrapText="1"/>
    </xf>
    <xf numFmtId="0" fontId="6" fillId="0" borderId="0" xfId="0" applyFont="1" applyAlignment="1">
      <alignment vertical="center" wrapText="1"/>
    </xf>
    <xf numFmtId="164" fontId="6" fillId="0" borderId="1" xfId="0" applyNumberFormat="1" applyFont="1" applyBorder="1" applyAlignment="1">
      <alignment vertical="center" wrapText="1"/>
    </xf>
    <xf numFmtId="0" fontId="5" fillId="3" borderId="2" xfId="0" applyFont="1" applyFill="1" applyBorder="1" applyAlignment="1">
      <alignment horizontal="left" vertical="center" wrapText="1"/>
    </xf>
    <xf numFmtId="164" fontId="5" fillId="3" borderId="1" xfId="0" applyNumberFormat="1" applyFont="1" applyFill="1" applyBorder="1" applyAlignment="1">
      <alignment vertical="center" wrapText="1"/>
    </xf>
    <xf numFmtId="3" fontId="6" fillId="0" borderId="0" xfId="0" applyNumberFormat="1" applyFont="1" applyAlignment="1">
      <alignment vertical="center" wrapText="1"/>
    </xf>
    <xf numFmtId="0" fontId="5" fillId="3" borderId="1" xfId="0" applyFont="1" applyFill="1" applyBorder="1" applyAlignment="1">
      <alignment horizontal="left" vertical="center" wrapText="1"/>
    </xf>
    <xf numFmtId="0" fontId="5" fillId="3" borderId="1" xfId="0" applyFont="1" applyFill="1" applyBorder="1" applyAlignment="1">
      <alignment vertical="center" wrapText="1"/>
    </xf>
    <xf numFmtId="164" fontId="5" fillId="0" borderId="1" xfId="0" applyNumberFormat="1" applyFont="1" applyBorder="1" applyAlignment="1">
      <alignment vertical="center" wrapText="1"/>
    </xf>
    <xf numFmtId="0" fontId="6" fillId="0" borderId="0" xfId="0" applyFont="1" applyAlignment="1">
      <alignment horizontal="center" vertical="center" wrapText="1"/>
    </xf>
    <xf numFmtId="0" fontId="6" fillId="0" borderId="0" xfId="0" applyFont="1" applyAlignment="1">
      <alignment horizontal="left" vertical="center" wrapText="1"/>
    </xf>
    <xf numFmtId="165" fontId="6" fillId="0" borderId="1" xfId="1" applyNumberFormat="1" applyFont="1" applyFill="1" applyBorder="1" applyAlignment="1">
      <alignment horizontal="right" vertical="center" wrapText="1" indent="1"/>
    </xf>
    <xf numFmtId="165" fontId="5" fillId="3" borderId="1" xfId="1" applyNumberFormat="1" applyFont="1" applyFill="1" applyBorder="1" applyAlignment="1">
      <alignment horizontal="right" vertical="center" wrapText="1" indent="1"/>
    </xf>
    <xf numFmtId="3" fontId="6" fillId="0" borderId="1" xfId="2" applyNumberFormat="1" applyFont="1" applyFill="1" applyBorder="1" applyAlignment="1">
      <alignment horizontal="right" vertical="center" wrapText="1" indent="1"/>
    </xf>
    <xf numFmtId="3" fontId="5" fillId="3" borderId="1" xfId="2" applyNumberFormat="1" applyFont="1" applyFill="1" applyBorder="1" applyAlignment="1">
      <alignment horizontal="right" vertical="center" wrapText="1" indent="1"/>
    </xf>
    <xf numFmtId="3" fontId="6" fillId="2" borderId="1" xfId="2" applyNumberFormat="1" applyFont="1" applyFill="1" applyBorder="1" applyAlignment="1">
      <alignment horizontal="right" vertical="center" wrapText="1" indent="1"/>
    </xf>
    <xf numFmtId="3" fontId="5" fillId="2" borderId="1" xfId="2" applyNumberFormat="1" applyFont="1" applyFill="1" applyBorder="1" applyAlignment="1">
      <alignment horizontal="right" vertical="center" wrapText="1" indent="1"/>
    </xf>
    <xf numFmtId="0" fontId="5" fillId="2" borderId="1" xfId="0" applyFont="1" applyFill="1" applyBorder="1" applyAlignment="1">
      <alignment horizontal="center" vertical="center" wrapText="1"/>
    </xf>
    <xf numFmtId="0" fontId="6" fillId="2" borderId="0" xfId="0" applyFont="1" applyFill="1" applyAlignment="1">
      <alignment vertical="center" wrapText="1"/>
    </xf>
    <xf numFmtId="3" fontId="6" fillId="2" borderId="0" xfId="0" applyNumberFormat="1" applyFont="1" applyFill="1" applyAlignment="1">
      <alignment vertical="center" wrapText="1"/>
    </xf>
    <xf numFmtId="0" fontId="6" fillId="0" borderId="8" xfId="0" applyFont="1" applyBorder="1" applyAlignment="1">
      <alignment horizontal="center" vertical="center" wrapText="1"/>
    </xf>
    <xf numFmtId="0" fontId="6" fillId="2" borderId="0" xfId="0" applyFont="1" applyFill="1" applyAlignment="1">
      <alignment horizontal="center" vertical="center" wrapText="1"/>
    </xf>
    <xf numFmtId="0" fontId="6" fillId="2" borderId="0" xfId="0" applyFont="1" applyFill="1" applyAlignment="1">
      <alignment horizontal="left" vertical="center" wrapText="1"/>
    </xf>
    <xf numFmtId="43" fontId="6" fillId="2" borderId="0" xfId="1" applyFont="1" applyFill="1" applyAlignment="1">
      <alignment vertical="center" wrapText="1"/>
    </xf>
    <xf numFmtId="43" fontId="6" fillId="2" borderId="0" xfId="0" applyNumberFormat="1" applyFont="1" applyFill="1" applyAlignment="1">
      <alignment vertical="center" wrapText="1"/>
    </xf>
    <xf numFmtId="0" fontId="5" fillId="3" borderId="9" xfId="0" applyFont="1" applyFill="1" applyBorder="1" applyAlignment="1">
      <alignment horizontal="center" vertical="center" wrapText="1"/>
    </xf>
    <xf numFmtId="0" fontId="6" fillId="2" borderId="0" xfId="0" applyFont="1" applyFill="1" applyAlignment="1">
      <alignment vertical="center"/>
    </xf>
    <xf numFmtId="43" fontId="6" fillId="0" borderId="1" xfId="1" applyFont="1" applyFill="1" applyBorder="1" applyAlignment="1">
      <alignment horizontal="center" vertical="center" wrapText="1"/>
    </xf>
    <xf numFmtId="43" fontId="5" fillId="0"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6" fillId="2" borderId="3" xfId="3" applyFont="1" applyFill="1" applyBorder="1" applyAlignment="1">
      <alignment horizontal="center" vertical="center" wrapText="1"/>
    </xf>
    <xf numFmtId="0" fontId="1" fillId="3" borderId="1" xfId="0" applyFont="1" applyFill="1" applyBorder="1" applyAlignment="1">
      <alignment horizontal="center" vertical="center" wrapText="1"/>
    </xf>
    <xf numFmtId="0" fontId="6" fillId="2" borderId="0" xfId="3" applyFont="1" applyFill="1" applyAlignment="1">
      <alignment horizontal="center" vertical="center" wrapText="1"/>
    </xf>
    <xf numFmtId="43" fontId="6" fillId="0" borderId="5" xfId="1" applyFont="1" applyFill="1" applyBorder="1" applyAlignment="1">
      <alignment horizontal="center" vertical="center" wrapText="1"/>
    </xf>
    <xf numFmtId="43" fontId="6" fillId="0" borderId="6" xfId="1" applyFont="1" applyFill="1" applyBorder="1" applyAlignment="1">
      <alignment horizontal="center" vertical="center" wrapText="1"/>
    </xf>
    <xf numFmtId="0" fontId="6" fillId="3" borderId="1" xfId="0" applyFont="1" applyFill="1" applyBorder="1" applyAlignment="1">
      <alignment horizontal="left"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1" xfId="0" applyFont="1" applyFill="1" applyBorder="1" applyAlignment="1">
      <alignment horizontal="justify" vertical="center" wrapText="1"/>
    </xf>
    <xf numFmtId="0" fontId="6" fillId="2" borderId="2" xfId="0" applyFont="1" applyFill="1" applyBorder="1" applyAlignment="1">
      <alignment horizontal="justify" vertical="center" wrapText="1"/>
    </xf>
    <xf numFmtId="0" fontId="6" fillId="2" borderId="3" xfId="0" applyFont="1" applyFill="1" applyBorder="1" applyAlignment="1">
      <alignment horizontal="justify" vertical="center" wrapText="1"/>
    </xf>
    <xf numFmtId="0" fontId="6" fillId="2" borderId="4" xfId="0" applyFont="1" applyFill="1" applyBorder="1" applyAlignment="1">
      <alignment horizontal="justify"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43" fontId="6" fillId="0" borderId="7" xfId="1"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2" borderId="0" xfId="0" applyFont="1" applyFill="1" applyAlignment="1">
      <alignment horizontal="left" vertical="center" wrapText="1"/>
    </xf>
  </cellXfs>
  <cellStyles count="5">
    <cellStyle name="Moeda" xfId="2" builtinId="4"/>
    <cellStyle name="Normal" xfId="0" builtinId="0"/>
    <cellStyle name="Normal 2" xfId="3" xr:uid="{00000000-0005-0000-0000-000002000000}"/>
    <cellStyle name="Normal 4" xfId="4" xr:uid="{00000000-0005-0000-0000-000003000000}"/>
    <cellStyle name="Vírgula" xfId="1" builtinId="3"/>
  </cellStyles>
  <dxfs count="11">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00B0F0"/>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edson.gomes\Desktop\Anexos%20I,%20II%20e%20III%20-%20Proposta%20de%20Trabalho%2022&#186;%20TA_VF6_Apostilamento%20Engenharia.........xls" TargetMode="External"/><Relationship Id="rId1" Type="http://schemas.openxmlformats.org/officeDocument/2006/relationships/externalLinkPath" Target="file:///C:\Users\edson.gomes\Desktop\Anexos%20I,%20II%20e%20III%20-%20Proposta%20de%20Trabalho%2022&#186;%20TA_VF6_Apostilamento%20Engenhari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NEXO I 22º TA"/>
      <sheetName val="ANEXO II 22º TA"/>
      <sheetName val="ANEXO III 22º TA"/>
      <sheetName val="22° TA"/>
      <sheetName val="22° TA (apostilamento I)"/>
      <sheetName val="22° TA (apostilamento II)"/>
      <sheetName val="22° TA (alterações apost I)"/>
      <sheetName val="22° TA (alterações apost II)"/>
    </sheetNames>
    <sheetDataSet>
      <sheetData sheetId="0" refreshError="1"/>
      <sheetData sheetId="1" refreshError="1"/>
      <sheetData sheetId="2">
        <row r="147">
          <cell r="D147">
            <v>22450</v>
          </cell>
          <cell r="E147">
            <v>98095</v>
          </cell>
          <cell r="F147">
            <v>126580</v>
          </cell>
          <cell r="G147">
            <v>12000</v>
          </cell>
          <cell r="H147">
            <v>0</v>
          </cell>
          <cell r="I147">
            <v>22450</v>
          </cell>
          <cell r="J147">
            <v>100439</v>
          </cell>
          <cell r="K147">
            <v>126580</v>
          </cell>
          <cell r="L147">
            <v>12000</v>
          </cell>
          <cell r="M147">
            <v>0</v>
          </cell>
        </row>
        <row r="149">
          <cell r="D149">
            <v>183950</v>
          </cell>
          <cell r="E149">
            <v>111395</v>
          </cell>
          <cell r="F149">
            <v>78423</v>
          </cell>
          <cell r="G149">
            <v>30000</v>
          </cell>
          <cell r="H149">
            <v>0</v>
          </cell>
          <cell r="I149">
            <v>183950</v>
          </cell>
          <cell r="J149">
            <v>99959</v>
          </cell>
          <cell r="K149">
            <v>78423</v>
          </cell>
          <cell r="L149">
            <v>30000</v>
          </cell>
          <cell r="M149">
            <v>0</v>
          </cell>
        </row>
        <row r="153">
          <cell r="D153">
            <v>65000</v>
          </cell>
          <cell r="E153">
            <v>253184</v>
          </cell>
          <cell r="F153">
            <v>131600</v>
          </cell>
          <cell r="G153">
            <v>840</v>
          </cell>
          <cell r="H153">
            <v>0</v>
          </cell>
          <cell r="I153">
            <v>65000</v>
          </cell>
          <cell r="J153">
            <v>304155</v>
          </cell>
          <cell r="K153">
            <v>131600</v>
          </cell>
          <cell r="L153">
            <v>0</v>
          </cell>
          <cell r="M153">
            <v>17160</v>
          </cell>
        </row>
        <row r="162">
          <cell r="D162">
            <v>45100</v>
          </cell>
          <cell r="E162">
            <v>205795</v>
          </cell>
          <cell r="F162">
            <v>154623</v>
          </cell>
          <cell r="G162">
            <v>20500</v>
          </cell>
          <cell r="H162">
            <v>0</v>
          </cell>
          <cell r="I162">
            <v>46601</v>
          </cell>
          <cell r="J162">
            <v>220172</v>
          </cell>
          <cell r="K162">
            <v>154623</v>
          </cell>
          <cell r="L162">
            <v>20500</v>
          </cell>
          <cell r="M162">
            <v>0</v>
          </cell>
        </row>
        <row r="163">
          <cell r="D163">
            <v>0</v>
          </cell>
          <cell r="E163">
            <v>3245882</v>
          </cell>
          <cell r="F163">
            <v>132342</v>
          </cell>
          <cell r="G163">
            <v>0</v>
          </cell>
          <cell r="H163">
            <v>0</v>
          </cell>
          <cell r="I163">
            <v>0</v>
          </cell>
          <cell r="J163">
            <v>3694626</v>
          </cell>
          <cell r="K163">
            <v>132342</v>
          </cell>
          <cell r="L163">
            <v>0</v>
          </cell>
          <cell r="M163">
            <v>0</v>
          </cell>
        </row>
        <row r="164">
          <cell r="D164">
            <v>140555</v>
          </cell>
          <cell r="E164">
            <v>76813</v>
          </cell>
          <cell r="I164">
            <v>165555</v>
          </cell>
          <cell r="J164">
            <v>79795</v>
          </cell>
        </row>
        <row r="165">
          <cell r="D165">
            <v>0</v>
          </cell>
          <cell r="E165">
            <v>16650</v>
          </cell>
          <cell r="I165">
            <v>0</v>
          </cell>
          <cell r="J165">
            <v>16650</v>
          </cell>
        </row>
        <row r="208">
          <cell r="I208">
            <v>0</v>
          </cell>
          <cell r="J208">
            <v>4064089</v>
          </cell>
          <cell r="K208">
            <v>141144</v>
          </cell>
          <cell r="L208">
            <v>0</v>
          </cell>
          <cell r="M208">
            <v>0</v>
          </cell>
        </row>
        <row r="209">
          <cell r="I209">
            <v>15555</v>
          </cell>
          <cell r="J209">
            <v>79795</v>
          </cell>
        </row>
        <row r="210">
          <cell r="I210">
            <v>0</v>
          </cell>
          <cell r="J210">
            <v>16650</v>
          </cell>
        </row>
      </sheetData>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39"/>
  <sheetViews>
    <sheetView zoomScaleNormal="100" zoomScaleSheetLayoutView="100" workbookViewId="0">
      <pane ySplit="2" topLeftCell="A29" activePane="bottomLeft" state="frozen"/>
      <selection pane="bottomLeft" sqref="A1:J1"/>
    </sheetView>
  </sheetViews>
  <sheetFormatPr defaultColWidth="8.85546875" defaultRowHeight="12.75" x14ac:dyDescent="0.25"/>
  <cols>
    <col min="1" max="1" width="15.7109375" style="5" customWidth="1"/>
    <col min="2" max="2" width="12.7109375" style="2" customWidth="1"/>
    <col min="3" max="9" width="15.7109375" style="3" customWidth="1"/>
    <col min="10" max="10" width="15.7109375" style="4" customWidth="1"/>
    <col min="11" max="16384" width="8.85546875" style="1"/>
  </cols>
  <sheetData>
    <row r="1" spans="1:10" ht="21" customHeight="1" x14ac:dyDescent="0.25">
      <c r="A1" s="65" t="s">
        <v>115</v>
      </c>
      <c r="B1" s="65"/>
      <c r="C1" s="65"/>
      <c r="D1" s="65"/>
      <c r="E1" s="65"/>
      <c r="F1" s="65"/>
      <c r="G1" s="65"/>
      <c r="H1" s="65"/>
      <c r="I1" s="65"/>
      <c r="J1" s="65"/>
    </row>
    <row r="2" spans="1:10" ht="33" customHeight="1" x14ac:dyDescent="0.25">
      <c r="A2" s="8" t="s">
        <v>0</v>
      </c>
      <c r="B2" s="8" t="s">
        <v>2</v>
      </c>
      <c r="C2" s="6" t="s">
        <v>108</v>
      </c>
      <c r="D2" s="6" t="s">
        <v>109</v>
      </c>
      <c r="E2" s="6" t="s">
        <v>110</v>
      </c>
      <c r="F2" s="6" t="s">
        <v>111</v>
      </c>
      <c r="G2" s="6" t="s">
        <v>112</v>
      </c>
      <c r="H2" s="6" t="s">
        <v>113</v>
      </c>
      <c r="I2" s="6" t="s">
        <v>114</v>
      </c>
      <c r="J2" s="7" t="s">
        <v>4</v>
      </c>
    </row>
    <row r="3" spans="1:10" ht="21" customHeight="1" x14ac:dyDescent="0.25">
      <c r="A3" s="62" t="s">
        <v>5</v>
      </c>
      <c r="B3" s="15" t="s">
        <v>7</v>
      </c>
      <c r="C3" s="60">
        <f>233925+323281+578835</f>
        <v>1136041</v>
      </c>
      <c r="D3" s="60">
        <f>353363+394292+578835</f>
        <v>1326490</v>
      </c>
      <c r="E3" s="60">
        <f>707925+408938+578835</f>
        <v>1695698</v>
      </c>
      <c r="F3" s="60">
        <f>816425+423694+578835</f>
        <v>1818954</v>
      </c>
      <c r="G3" s="60">
        <v>1357091</v>
      </c>
      <c r="H3" s="60">
        <v>1338849</v>
      </c>
      <c r="I3" s="61">
        <f>SUM(C3:H6)</f>
        <v>8673123</v>
      </c>
      <c r="J3" s="48">
        <f>66*6</f>
        <v>396</v>
      </c>
    </row>
    <row r="4" spans="1:10" ht="21" customHeight="1" x14ac:dyDescent="0.25">
      <c r="A4" s="62"/>
      <c r="B4" s="15" t="s">
        <v>9</v>
      </c>
      <c r="C4" s="60"/>
      <c r="D4" s="60"/>
      <c r="E4" s="60"/>
      <c r="F4" s="60"/>
      <c r="G4" s="60"/>
      <c r="H4" s="60"/>
      <c r="I4" s="61"/>
      <c r="J4" s="48">
        <f>25*6</f>
        <v>150</v>
      </c>
    </row>
    <row r="5" spans="1:10" ht="21" customHeight="1" x14ac:dyDescent="0.25">
      <c r="A5" s="62"/>
      <c r="B5" s="15" t="s">
        <v>11</v>
      </c>
      <c r="C5" s="60"/>
      <c r="D5" s="60"/>
      <c r="E5" s="60"/>
      <c r="F5" s="60"/>
      <c r="G5" s="60"/>
      <c r="H5" s="60"/>
      <c r="I5" s="61"/>
      <c r="J5" s="48">
        <v>180</v>
      </c>
    </row>
    <row r="6" spans="1:10" ht="21" customHeight="1" x14ac:dyDescent="0.25">
      <c r="A6" s="62"/>
      <c r="B6" s="15" t="s">
        <v>13</v>
      </c>
      <c r="C6" s="60"/>
      <c r="D6" s="60"/>
      <c r="E6" s="60"/>
      <c r="F6" s="60"/>
      <c r="G6" s="60"/>
      <c r="H6" s="60"/>
      <c r="I6" s="61"/>
      <c r="J6" s="48">
        <v>1740</v>
      </c>
    </row>
    <row r="7" spans="1:10" ht="21" customHeight="1" x14ac:dyDescent="0.25">
      <c r="A7" s="63" t="s">
        <v>15</v>
      </c>
      <c r="B7" s="15" t="s">
        <v>17</v>
      </c>
      <c r="C7" s="60">
        <f>5725+40957+117022+6900</f>
        <v>170604</v>
      </c>
      <c r="D7" s="60">
        <f>35725+56722+117022+723</f>
        <v>210192</v>
      </c>
      <c r="E7" s="60">
        <f>237130+53280+117022+30200</f>
        <v>437632</v>
      </c>
      <c r="F7" s="60">
        <f>545305+68140+117022+25500</f>
        <v>755967</v>
      </c>
      <c r="G7" s="60">
        <f>112305+65964+123672+72852</f>
        <v>374793</v>
      </c>
      <c r="H7" s="60">
        <f>97305+62708+130321</f>
        <v>290334</v>
      </c>
      <c r="I7" s="61">
        <f>SUM(C7:H8)</f>
        <v>2239522</v>
      </c>
      <c r="J7" s="48">
        <v>174</v>
      </c>
    </row>
    <row r="8" spans="1:10" ht="21" customHeight="1" x14ac:dyDescent="0.25">
      <c r="A8" s="63"/>
      <c r="B8" s="15" t="s">
        <v>18</v>
      </c>
      <c r="C8" s="60"/>
      <c r="D8" s="60"/>
      <c r="E8" s="60"/>
      <c r="F8" s="60"/>
      <c r="G8" s="60"/>
      <c r="H8" s="60"/>
      <c r="I8" s="61"/>
      <c r="J8" s="48">
        <v>2900</v>
      </c>
    </row>
    <row r="9" spans="1:10" ht="21" customHeight="1" x14ac:dyDescent="0.25">
      <c r="A9" s="16" t="s">
        <v>19</v>
      </c>
      <c r="B9" s="15" t="s">
        <v>21</v>
      </c>
      <c r="C9" s="10">
        <f>11950+55541+126395</f>
        <v>193886</v>
      </c>
      <c r="D9" s="10">
        <f>41746+55209+126395+3900</f>
        <v>227250</v>
      </c>
      <c r="E9" s="10">
        <f>220175+55580+126395+47420</f>
        <v>449570</v>
      </c>
      <c r="F9" s="10">
        <f>229750+55309+126395</f>
        <v>411454</v>
      </c>
      <c r="G9" s="10">
        <f>134950+57609+133277+109752+47650</f>
        <v>483238</v>
      </c>
      <c r="H9" s="10">
        <f>124950+66036+140159+75000</f>
        <v>406145</v>
      </c>
      <c r="I9" s="12">
        <f>SUM(C9:H9)</f>
        <v>2171543</v>
      </c>
      <c r="J9" s="48">
        <v>1560</v>
      </c>
    </row>
    <row r="10" spans="1:10" ht="21" customHeight="1" x14ac:dyDescent="0.25">
      <c r="A10" s="16" t="s">
        <v>22</v>
      </c>
      <c r="B10" s="15" t="s">
        <v>24</v>
      </c>
      <c r="C10" s="10">
        <f>58927+78423</f>
        <v>137350</v>
      </c>
      <c r="D10" s="10">
        <f>41435+59231+78423+1950</f>
        <v>181039</v>
      </c>
      <c r="E10" s="10">
        <f>114675+61950+78423+420</f>
        <v>255468</v>
      </c>
      <c r="F10" s="10">
        <f>214250+59922+78423</f>
        <v>352595</v>
      </c>
      <c r="G10" s="10">
        <f>103950+86958+82839+16750</f>
        <v>290497</v>
      </c>
      <c r="H10" s="10">
        <f>83950+90215+87255</f>
        <v>261420</v>
      </c>
      <c r="I10" s="12">
        <f>SUM(C10:H10)</f>
        <v>1478369</v>
      </c>
      <c r="J10" s="48">
        <v>1620</v>
      </c>
    </row>
    <row r="11" spans="1:10" ht="21" customHeight="1" x14ac:dyDescent="0.25">
      <c r="A11" s="64"/>
      <c r="B11" s="64"/>
      <c r="C11" s="64"/>
      <c r="D11" s="64"/>
      <c r="E11" s="64"/>
      <c r="F11" s="64"/>
      <c r="G11" s="64"/>
      <c r="H11" s="64"/>
      <c r="I11" s="64"/>
      <c r="J11" s="64"/>
    </row>
    <row r="12" spans="1:10" ht="21" customHeight="1" x14ac:dyDescent="0.25">
      <c r="A12" s="15" t="s">
        <v>116</v>
      </c>
      <c r="B12" s="15" t="s">
        <v>27</v>
      </c>
      <c r="C12" s="10">
        <f>20600+118500+131600+81650+11783</f>
        <v>364133</v>
      </c>
      <c r="D12" s="10">
        <f>223294+161882+131600+5000+9804</f>
        <v>531580</v>
      </c>
      <c r="E12" s="10">
        <f>327026+140431+131600+9064</f>
        <v>608121</v>
      </c>
      <c r="F12" s="10">
        <f>246000+196364+131600+2600+400</f>
        <v>576964</v>
      </c>
      <c r="G12" s="10">
        <f>50000+232105+138632+135250</f>
        <v>555987</v>
      </c>
      <c r="H12" s="10">
        <f>100000+283884+145664</f>
        <v>529548</v>
      </c>
      <c r="I12" s="12">
        <f>SUM(C12:H12)</f>
        <v>3166333</v>
      </c>
      <c r="J12" s="48">
        <v>2300</v>
      </c>
    </row>
    <row r="13" spans="1:10" ht="21" customHeight="1" x14ac:dyDescent="0.25">
      <c r="A13" s="15" t="s">
        <v>117</v>
      </c>
      <c r="B13" s="15" t="s">
        <v>31</v>
      </c>
      <c r="C13" s="10">
        <f>48171+66795</f>
        <v>114966</v>
      </c>
      <c r="D13" s="10">
        <f>51144+66795</f>
        <v>117939</v>
      </c>
      <c r="E13" s="10">
        <f>48511+66795</f>
        <v>115306</v>
      </c>
      <c r="F13" s="10">
        <f>66711+66795</f>
        <v>133506</v>
      </c>
      <c r="G13" s="10">
        <f>138948+70317</f>
        <v>209265</v>
      </c>
      <c r="H13" s="10">
        <f>71105+73840</f>
        <v>144945</v>
      </c>
      <c r="I13" s="12">
        <f t="shared" ref="I13:I15" si="0">SUM(C13:H13)</f>
        <v>835927</v>
      </c>
      <c r="J13" s="48">
        <v>900</v>
      </c>
    </row>
    <row r="14" spans="1:10" ht="21" customHeight="1" x14ac:dyDescent="0.25">
      <c r="A14" s="15" t="s">
        <v>33</v>
      </c>
      <c r="B14" s="15" t="s">
        <v>35</v>
      </c>
      <c r="C14" s="10">
        <f>1590+9773000+181848+304445</f>
        <v>10260883</v>
      </c>
      <c r="D14" s="10">
        <f>1100+9773000+616438+304445</f>
        <v>10694983</v>
      </c>
      <c r="E14" s="10">
        <f>2100+9773000+121580+304445</f>
        <v>10201125</v>
      </c>
      <c r="F14" s="10">
        <f>1595+9773000+122600+304445</f>
        <v>10201640</v>
      </c>
      <c r="G14" s="10">
        <f>1100+9773000+118142+321816</f>
        <v>10214058</v>
      </c>
      <c r="H14" s="10">
        <f>1100+9773000+100406+339187</f>
        <v>10213693</v>
      </c>
      <c r="I14" s="12">
        <f t="shared" si="0"/>
        <v>61786382</v>
      </c>
      <c r="J14" s="48">
        <v>84000</v>
      </c>
    </row>
    <row r="15" spans="1:10" ht="21" customHeight="1" x14ac:dyDescent="0.25">
      <c r="A15" s="15" t="s">
        <v>118</v>
      </c>
      <c r="B15" s="15" t="s">
        <v>39</v>
      </c>
      <c r="C15" s="10">
        <f>684+22754+59901+34500</f>
        <v>117839</v>
      </c>
      <c r="D15" s="10">
        <f>4070+37754+59901</f>
        <v>101725</v>
      </c>
      <c r="E15" s="10">
        <f>8696+22754+59901+1600</f>
        <v>92951</v>
      </c>
      <c r="F15" s="10">
        <f>1184+188504+59901</f>
        <v>249589</v>
      </c>
      <c r="G15" s="10">
        <f>683+23254+63210</f>
        <v>87147</v>
      </c>
      <c r="H15" s="10">
        <f>684+23254+66520</f>
        <v>90458</v>
      </c>
      <c r="I15" s="12">
        <f t="shared" si="0"/>
        <v>739709</v>
      </c>
      <c r="J15" s="48">
        <v>5000</v>
      </c>
    </row>
    <row r="16" spans="1:10" ht="21" customHeight="1" x14ac:dyDescent="0.25">
      <c r="A16" s="64"/>
      <c r="B16" s="64"/>
      <c r="C16" s="64"/>
      <c r="D16" s="64"/>
      <c r="E16" s="64"/>
      <c r="F16" s="64"/>
      <c r="G16" s="64"/>
      <c r="H16" s="64"/>
      <c r="I16" s="64"/>
      <c r="J16" s="64"/>
    </row>
    <row r="17" spans="1:12" ht="21" customHeight="1" x14ac:dyDescent="0.25">
      <c r="A17" s="15" t="s">
        <v>41</v>
      </c>
      <c r="B17" s="15" t="s">
        <v>43</v>
      </c>
      <c r="C17" s="10">
        <f>50007+151630</f>
        <v>201637</v>
      </c>
      <c r="D17" s="10">
        <f>50782+151630</f>
        <v>202412</v>
      </c>
      <c r="E17" s="10">
        <f>12000+50332+151630</f>
        <v>213962</v>
      </c>
      <c r="F17" s="10">
        <f>4575+50250+151630</f>
        <v>206455</v>
      </c>
      <c r="G17" s="10">
        <f>4075+50200+160129</f>
        <v>214404</v>
      </c>
      <c r="H17" s="10">
        <f>4075+50082+168628</f>
        <v>222785</v>
      </c>
      <c r="I17" s="12">
        <f>SUM(C17:H17)</f>
        <v>1261655</v>
      </c>
      <c r="J17" s="48">
        <v>72</v>
      </c>
    </row>
    <row r="18" spans="1:12" ht="21" customHeight="1" x14ac:dyDescent="0.25">
      <c r="A18" s="62" t="s">
        <v>45</v>
      </c>
      <c r="B18" s="15" t="s">
        <v>47</v>
      </c>
      <c r="C18" s="60">
        <f>24000+1740378+435963+25300</f>
        <v>2225641</v>
      </c>
      <c r="D18" s="60">
        <f>24000+1755996+435963+200868</f>
        <v>2416827</v>
      </c>
      <c r="E18" s="60">
        <f>24000+1712232+435963+1036813+100000</f>
        <v>3309008</v>
      </c>
      <c r="F18" s="60">
        <f>24000+1918599+435963+1210000</f>
        <v>3588562</v>
      </c>
      <c r="G18" s="60">
        <f>24000+3003838+459200+1010500</f>
        <v>4497538</v>
      </c>
      <c r="H18" s="60">
        <f>24000+2407835+482438+1010000</f>
        <v>3924273</v>
      </c>
      <c r="I18" s="61">
        <f>SUM(C18:H19)</f>
        <v>19961849</v>
      </c>
      <c r="J18" s="48">
        <v>81425</v>
      </c>
    </row>
    <row r="19" spans="1:12" ht="21" customHeight="1" x14ac:dyDescent="0.25">
      <c r="A19" s="62"/>
      <c r="B19" s="15" t="s">
        <v>49</v>
      </c>
      <c r="C19" s="60"/>
      <c r="D19" s="60"/>
      <c r="E19" s="60"/>
      <c r="F19" s="60"/>
      <c r="G19" s="60"/>
      <c r="H19" s="60"/>
      <c r="I19" s="61"/>
      <c r="J19" s="48">
        <v>360</v>
      </c>
    </row>
    <row r="20" spans="1:12" ht="21" customHeight="1" x14ac:dyDescent="0.25">
      <c r="A20" s="15" t="s">
        <v>51</v>
      </c>
      <c r="B20" s="15" t="s">
        <v>53</v>
      </c>
      <c r="C20" s="10">
        <f>11300+107072+154163+27600</f>
        <v>300135</v>
      </c>
      <c r="D20" s="10">
        <f>16878+112660+154163</f>
        <v>283701</v>
      </c>
      <c r="E20" s="10">
        <f>17195+111158+154163+6526</f>
        <v>289042</v>
      </c>
      <c r="F20" s="10">
        <f>10600+112404+154163</f>
        <v>277167</v>
      </c>
      <c r="G20" s="10">
        <f>10100+164168+162620+25316</f>
        <v>362204</v>
      </c>
      <c r="H20" s="10">
        <f>10100+171082+171078</f>
        <v>352260</v>
      </c>
      <c r="I20" s="12">
        <f>SUM(C20:H20)</f>
        <v>1864509</v>
      </c>
      <c r="J20" s="48">
        <v>2070</v>
      </c>
    </row>
    <row r="21" spans="1:12" ht="21" customHeight="1" x14ac:dyDescent="0.25">
      <c r="A21" s="15" t="s">
        <v>55</v>
      </c>
      <c r="B21" s="15" t="s">
        <v>57</v>
      </c>
      <c r="C21" s="10">
        <f>2546114+39820+14500+132342</f>
        <v>2732776</v>
      </c>
      <c r="D21" s="10">
        <f>81470+2825066+45038+14500+132342</f>
        <v>3098416</v>
      </c>
      <c r="E21" s="10">
        <f>415030+2446596+56804+14500+132342</f>
        <v>3065272</v>
      </c>
      <c r="F21" s="10">
        <f>401055+2546936+57838+16650+132342</f>
        <v>3154821</v>
      </c>
      <c r="G21" s="10">
        <f>400555+2656936+66617+16650+139998</f>
        <v>3280756</v>
      </c>
      <c r="H21" s="10">
        <f>400555+2731267+73827+16650+147654</f>
        <v>3369953</v>
      </c>
      <c r="I21" s="12">
        <f t="shared" ref="I21:I22" si="1">SUM(C21:H21)</f>
        <v>18701994</v>
      </c>
      <c r="J21" s="48">
        <v>1930476</v>
      </c>
    </row>
    <row r="22" spans="1:12" ht="21" customHeight="1" x14ac:dyDescent="0.25">
      <c r="A22" s="15" t="s">
        <v>59</v>
      </c>
      <c r="B22" s="15" t="s">
        <v>61</v>
      </c>
      <c r="C22" s="10">
        <f>16612+104563+44219</f>
        <v>165394</v>
      </c>
      <c r="D22" s="10">
        <f>10070+107898+44219+15000</f>
        <v>177187</v>
      </c>
      <c r="E22" s="10">
        <f>16313+64998+44219</f>
        <v>125530</v>
      </c>
      <c r="F22" s="10">
        <f>99662+59498+44219+125000</f>
        <v>328379</v>
      </c>
      <c r="G22" s="10">
        <f>83613+59921+46589+625000</f>
        <v>815123</v>
      </c>
      <c r="H22" s="10">
        <f>3612+55876+48960</f>
        <v>108448</v>
      </c>
      <c r="I22" s="12">
        <f t="shared" si="1"/>
        <v>1720061</v>
      </c>
      <c r="J22" s="48">
        <v>250000</v>
      </c>
    </row>
    <row r="23" spans="1:12" ht="21" customHeight="1" x14ac:dyDescent="0.25">
      <c r="A23" s="64"/>
      <c r="B23" s="64"/>
      <c r="C23" s="64"/>
      <c r="D23" s="64"/>
      <c r="E23" s="64"/>
      <c r="F23" s="64"/>
      <c r="G23" s="64"/>
      <c r="H23" s="64"/>
      <c r="I23" s="64"/>
      <c r="J23" s="64"/>
    </row>
    <row r="24" spans="1:12" ht="21" customHeight="1" x14ac:dyDescent="0.25">
      <c r="A24" s="62" t="s">
        <v>63</v>
      </c>
      <c r="B24" s="17" t="s">
        <v>65</v>
      </c>
      <c r="C24" s="60">
        <f>17116+51876+18400</f>
        <v>87392</v>
      </c>
      <c r="D24" s="60">
        <f>20766+51876</f>
        <v>72642</v>
      </c>
      <c r="E24" s="60">
        <f>12235+51876+1378.4</f>
        <v>65489.4</v>
      </c>
      <c r="F24" s="60">
        <f>23190+51876+5670</f>
        <v>80736</v>
      </c>
      <c r="G24" s="60">
        <f>15732+54721</f>
        <v>70453</v>
      </c>
      <c r="H24" s="60">
        <f>15909+57568</f>
        <v>73477</v>
      </c>
      <c r="I24" s="61">
        <f>SUM(C24:H26)</f>
        <v>450189.4</v>
      </c>
      <c r="J24" s="48">
        <v>810</v>
      </c>
    </row>
    <row r="25" spans="1:12" ht="21" customHeight="1" x14ac:dyDescent="0.25">
      <c r="A25" s="62"/>
      <c r="B25" s="17" t="s">
        <v>67</v>
      </c>
      <c r="C25" s="60"/>
      <c r="D25" s="60"/>
      <c r="E25" s="60"/>
      <c r="F25" s="60"/>
      <c r="G25" s="60"/>
      <c r="H25" s="60"/>
      <c r="I25" s="61"/>
      <c r="J25" s="48">
        <v>36</v>
      </c>
    </row>
    <row r="26" spans="1:12" ht="21" customHeight="1" x14ac:dyDescent="0.25">
      <c r="A26" s="62"/>
      <c r="B26" s="17" t="s">
        <v>69</v>
      </c>
      <c r="C26" s="60"/>
      <c r="D26" s="60"/>
      <c r="E26" s="60"/>
      <c r="F26" s="60"/>
      <c r="G26" s="60"/>
      <c r="H26" s="60"/>
      <c r="I26" s="61"/>
      <c r="J26" s="48">
        <v>270</v>
      </c>
      <c r="L26" s="31"/>
    </row>
    <row r="27" spans="1:12" ht="21" customHeight="1" x14ac:dyDescent="0.25">
      <c r="A27" s="15" t="s">
        <v>71</v>
      </c>
      <c r="B27" s="17" t="s">
        <v>73</v>
      </c>
      <c r="C27" s="10">
        <f>22222+199403</f>
        <v>221625</v>
      </c>
      <c r="D27" s="10">
        <f>21727+199403</f>
        <v>221130</v>
      </c>
      <c r="E27" s="10">
        <f>21727+199403</f>
        <v>221130</v>
      </c>
      <c r="F27" s="10">
        <f>20727+199403+109270</f>
        <v>329400</v>
      </c>
      <c r="G27" s="10">
        <f>10535+20727+211975</f>
        <v>243237</v>
      </c>
      <c r="H27" s="10">
        <f>14242+20471+224547</f>
        <v>259260</v>
      </c>
      <c r="I27" s="12">
        <f>SUM(C27:H27)</f>
        <v>1495782</v>
      </c>
      <c r="J27" s="48">
        <v>780</v>
      </c>
      <c r="L27" s="31"/>
    </row>
    <row r="28" spans="1:12" ht="21" customHeight="1" x14ac:dyDescent="0.25">
      <c r="A28" s="62" t="s">
        <v>75</v>
      </c>
      <c r="B28" s="17" t="s">
        <v>77</v>
      </c>
      <c r="C28" s="60">
        <f>130162+32500</f>
        <v>162662</v>
      </c>
      <c r="D28" s="60">
        <v>82854</v>
      </c>
      <c r="E28" s="60">
        <v>0</v>
      </c>
      <c r="F28" s="60">
        <v>0</v>
      </c>
      <c r="G28" s="60">
        <v>0</v>
      </c>
      <c r="H28" s="60">
        <v>0</v>
      </c>
      <c r="I28" s="61">
        <f>SUM(C28:H29)</f>
        <v>245516</v>
      </c>
      <c r="J28" s="48"/>
      <c r="L28" s="31"/>
    </row>
    <row r="29" spans="1:12" ht="21" customHeight="1" x14ac:dyDescent="0.25">
      <c r="A29" s="62"/>
      <c r="B29" s="17" t="s">
        <v>79</v>
      </c>
      <c r="C29" s="60"/>
      <c r="D29" s="60"/>
      <c r="E29" s="60"/>
      <c r="F29" s="60"/>
      <c r="G29" s="60"/>
      <c r="H29" s="60"/>
      <c r="I29" s="61"/>
      <c r="J29" s="48">
        <v>30000</v>
      </c>
      <c r="L29" s="31"/>
    </row>
    <row r="30" spans="1:12" ht="21" customHeight="1" x14ac:dyDescent="0.25">
      <c r="A30" s="62" t="s">
        <v>81</v>
      </c>
      <c r="B30" s="17" t="s">
        <v>82</v>
      </c>
      <c r="C30" s="60">
        <v>0</v>
      </c>
      <c r="D30" s="60">
        <v>625000</v>
      </c>
      <c r="E30" s="60">
        <f>6743000</f>
        <v>6743000</v>
      </c>
      <c r="F30" s="60">
        <v>9740877</v>
      </c>
      <c r="G30" s="60">
        <v>11096877</v>
      </c>
      <c r="H30" s="60">
        <v>5471584</v>
      </c>
      <c r="I30" s="61">
        <f>SUM(C30:H31)</f>
        <v>33677338</v>
      </c>
      <c r="J30" s="48">
        <v>500000</v>
      </c>
      <c r="L30" s="31"/>
    </row>
    <row r="31" spans="1:12" ht="21" customHeight="1" x14ac:dyDescent="0.25">
      <c r="A31" s="62"/>
      <c r="B31" s="17" t="s">
        <v>84</v>
      </c>
      <c r="C31" s="60"/>
      <c r="D31" s="60"/>
      <c r="E31" s="60"/>
      <c r="F31" s="60"/>
      <c r="G31" s="60"/>
      <c r="H31" s="60"/>
      <c r="I31" s="61"/>
      <c r="J31" s="48">
        <v>700000</v>
      </c>
      <c r="L31" s="31"/>
    </row>
    <row r="32" spans="1:12" ht="21" customHeight="1" x14ac:dyDescent="0.25">
      <c r="C32" s="26">
        <f>SUM(C24:C31,C17:C22,C12:C15,C3:C10)</f>
        <v>18592964</v>
      </c>
      <c r="D32" s="26">
        <f t="shared" ref="D32:J32" si="2">SUM(D24:D31,D17:D22,D12:D15,D3:D10)</f>
        <v>20571367</v>
      </c>
      <c r="E32" s="26">
        <f t="shared" si="2"/>
        <v>27888304.399999999</v>
      </c>
      <c r="F32" s="26">
        <f t="shared" si="2"/>
        <v>32207066</v>
      </c>
      <c r="G32" s="26">
        <f t="shared" si="2"/>
        <v>34152668</v>
      </c>
      <c r="H32" s="26">
        <f>SUM(H24:H31,H17:H22,H12:H15,H3:H10)</f>
        <v>27057432</v>
      </c>
      <c r="I32" s="26">
        <f>SUM(I24:I31,I17:I22,I12:I15,I3:I10)</f>
        <v>160469801.40000001</v>
      </c>
      <c r="J32" s="49">
        <f t="shared" si="2"/>
        <v>3597219</v>
      </c>
      <c r="L32" s="31"/>
    </row>
    <row r="33" spans="1:11" ht="21" customHeight="1" x14ac:dyDescent="0.25">
      <c r="D33" s="1"/>
      <c r="E33" s="1"/>
      <c r="F33" s="1"/>
      <c r="G33" s="1"/>
      <c r="H33" s="1"/>
      <c r="I33" s="1"/>
      <c r="J33" s="1"/>
    </row>
    <row r="34" spans="1:11" ht="21" customHeight="1" x14ac:dyDescent="0.25">
      <c r="I34" s="28"/>
      <c r="J34" s="3"/>
    </row>
    <row r="35" spans="1:11" ht="21" customHeight="1" x14ac:dyDescent="0.25">
      <c r="B35" s="11" t="s">
        <v>142</v>
      </c>
      <c r="C35" s="26">
        <f>887463+2471488+795392+153135+564710</f>
        <v>4872188</v>
      </c>
      <c r="D35" s="26">
        <f>535221+2471488+795392+153135+221103</f>
        <v>4176339</v>
      </c>
      <c r="E35" s="26">
        <f>860038+2471488+795392+153135+291661</f>
        <v>4571714</v>
      </c>
      <c r="F35" s="26">
        <f>571613+2471488+795392+153135+44200</f>
        <v>4035828</v>
      </c>
      <c r="G35" s="26">
        <f>502318+2614130+795392+161814+62500</f>
        <v>4136154</v>
      </c>
      <c r="H35" s="26">
        <f>660274+2756771+914701+170494+404800+62500</f>
        <v>4969540</v>
      </c>
      <c r="I35" s="26">
        <f>SUM(C35:H35)</f>
        <v>26761763</v>
      </c>
      <c r="J35" s="29"/>
      <c r="K35" s="30"/>
    </row>
    <row r="36" spans="1:11" ht="21" customHeight="1" x14ac:dyDescent="0.25">
      <c r="B36" s="11" t="s">
        <v>114</v>
      </c>
      <c r="C36" s="26">
        <f>C32+C35</f>
        <v>23465152</v>
      </c>
      <c r="D36" s="26">
        <f>D32+D35</f>
        <v>24747706</v>
      </c>
      <c r="E36" s="26">
        <f t="shared" ref="E36:H36" si="3">E32+E35</f>
        <v>32460018.399999999</v>
      </c>
      <c r="F36" s="26">
        <f t="shared" si="3"/>
        <v>36242894</v>
      </c>
      <c r="G36" s="26">
        <f t="shared" si="3"/>
        <v>38288822</v>
      </c>
      <c r="H36" s="26">
        <f t="shared" si="3"/>
        <v>32026972</v>
      </c>
      <c r="I36" s="26">
        <f>I32+I35</f>
        <v>187231564.40000001</v>
      </c>
      <c r="J36" s="29"/>
      <c r="K36" s="30"/>
    </row>
    <row r="37" spans="1:11" ht="21" customHeight="1" x14ac:dyDescent="0.25">
      <c r="B37" s="27"/>
      <c r="C37" s="28"/>
      <c r="D37" s="28"/>
      <c r="E37" s="28"/>
      <c r="F37" s="28"/>
      <c r="G37" s="28"/>
      <c r="H37" s="28"/>
      <c r="I37" s="28"/>
      <c r="J37" s="29"/>
      <c r="K37" s="30"/>
    </row>
    <row r="38" spans="1:11" ht="21" customHeight="1" x14ac:dyDescent="0.25">
      <c r="A38" s="11" t="s">
        <v>120</v>
      </c>
      <c r="B38" s="11" t="s">
        <v>119</v>
      </c>
      <c r="C38" s="26">
        <f>1344011+15264771+6053027+791560+11783</f>
        <v>23465152</v>
      </c>
      <c r="D38" s="26">
        <f>2076226+16160105+6053027+441971+16377</f>
        <v>24747706</v>
      </c>
      <c r="E38" s="26">
        <f>9705303+15176606+6053027+1377242.4+147840</f>
        <v>32460018.399999999</v>
      </c>
      <c r="F38" s="26">
        <f>12906891+15760336+6053027+1412970+109670</f>
        <v>36242894</v>
      </c>
      <c r="G38" s="26">
        <f>12671486+17160750+6351016+2041170+64400</f>
        <v>38288822</v>
      </c>
      <c r="H38" s="26">
        <f>6952856+16513495+7008321+1552300</f>
        <v>32026972</v>
      </c>
      <c r="I38" s="26"/>
      <c r="J38" s="29"/>
      <c r="K38" s="30"/>
    </row>
    <row r="39" spans="1:11" ht="21" customHeight="1" x14ac:dyDescent="0.25">
      <c r="B39" s="11" t="s">
        <v>121</v>
      </c>
      <c r="C39" s="26">
        <f>C36-C38</f>
        <v>0</v>
      </c>
      <c r="D39" s="26">
        <f>D36-D38</f>
        <v>0</v>
      </c>
      <c r="E39" s="26">
        <f t="shared" ref="E39:H39" si="4">E36-E38</f>
        <v>0</v>
      </c>
      <c r="F39" s="26">
        <f t="shared" si="4"/>
        <v>0</v>
      </c>
      <c r="G39" s="26">
        <f t="shared" si="4"/>
        <v>0</v>
      </c>
      <c r="H39" s="26">
        <f t="shared" si="4"/>
        <v>0</v>
      </c>
      <c r="I39" s="26">
        <f>I36-I38</f>
        <v>187231564.40000001</v>
      </c>
      <c r="J39" s="29"/>
      <c r="K39" s="30"/>
    </row>
  </sheetData>
  <sheetProtection formatCells="0" formatColumns="0"/>
  <mergeCells count="52">
    <mergeCell ref="A1:J1"/>
    <mergeCell ref="E24:E26"/>
    <mergeCell ref="H24:H26"/>
    <mergeCell ref="I24:I26"/>
    <mergeCell ref="E28:E29"/>
    <mergeCell ref="H28:H29"/>
    <mergeCell ref="I28:I29"/>
    <mergeCell ref="H3:H6"/>
    <mergeCell ref="I3:I6"/>
    <mergeCell ref="E7:E8"/>
    <mergeCell ref="H7:H8"/>
    <mergeCell ref="I7:I8"/>
    <mergeCell ref="E18:E19"/>
    <mergeCell ref="F28:F29"/>
    <mergeCell ref="G28:G29"/>
    <mergeCell ref="A11:J11"/>
    <mergeCell ref="D18:D19"/>
    <mergeCell ref="A24:A26"/>
    <mergeCell ref="D24:D26"/>
    <mergeCell ref="C24:C26"/>
    <mergeCell ref="A23:J23"/>
    <mergeCell ref="F18:F19"/>
    <mergeCell ref="G18:G19"/>
    <mergeCell ref="F24:F26"/>
    <mergeCell ref="G24:G26"/>
    <mergeCell ref="C30:C31"/>
    <mergeCell ref="A28:A29"/>
    <mergeCell ref="E30:E31"/>
    <mergeCell ref="H30:H31"/>
    <mergeCell ref="I30:I31"/>
    <mergeCell ref="D28:D29"/>
    <mergeCell ref="A30:A31"/>
    <mergeCell ref="D30:D31"/>
    <mergeCell ref="C28:C29"/>
    <mergeCell ref="F30:F31"/>
    <mergeCell ref="G30:G31"/>
    <mergeCell ref="C7:C8"/>
    <mergeCell ref="C18:C19"/>
    <mergeCell ref="H18:H19"/>
    <mergeCell ref="I18:I19"/>
    <mergeCell ref="A3:A6"/>
    <mergeCell ref="D3:D6"/>
    <mergeCell ref="E3:E6"/>
    <mergeCell ref="C3:C6"/>
    <mergeCell ref="A7:A8"/>
    <mergeCell ref="D7:D8"/>
    <mergeCell ref="F3:F6"/>
    <mergeCell ref="G3:G6"/>
    <mergeCell ref="F7:F8"/>
    <mergeCell ref="G7:G8"/>
    <mergeCell ref="A16:J16"/>
    <mergeCell ref="A18:A19"/>
  </mergeCells>
  <printOptions horizontalCentered="1"/>
  <pageMargins left="0.19685039370078741" right="0.19685039370078741" top="1.1811023622047245" bottom="0.59055118110236227" header="0.11811023622047245" footer="0.11811023622047245"/>
  <pageSetup paperSize="9" fitToHeight="0" orientation="landscape" r:id="rId1"/>
  <headerFooter>
    <oddHeader>&amp;L&amp;G&amp;C&amp;"Arial,Negrito"&amp;10ORGANIZAÇÃO DAS VOLUNTÁRIAS DE GOIÁS
DIRETORIA GERAL
GERÊNCIA ESTRATÉGICA DE PLANEJAMENTO E GOVERNANÇA       
INDICADOR DE DESEMPENHO</oddHeader>
    <oddFooter>&amp;R&amp;P de &amp;N</oddFooter>
  </headerFooter>
  <rowBreaks count="1" manualBreakCount="1">
    <brk id="23" max="16383"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38"/>
  <sheetViews>
    <sheetView tabSelected="1" view="pageBreakPreview" zoomScaleNormal="100" zoomScaleSheetLayoutView="100" workbookViewId="0">
      <pane ySplit="2" topLeftCell="A4" activePane="bottomLeft" state="frozen"/>
      <selection pane="bottomLeft" activeCell="A23" sqref="A23:XFD23"/>
    </sheetView>
  </sheetViews>
  <sheetFormatPr defaultColWidth="8.85546875" defaultRowHeight="12.75" x14ac:dyDescent="0.25"/>
  <cols>
    <col min="1" max="1" width="14.140625" style="5" customWidth="1"/>
    <col min="2" max="2" width="12.140625" style="2" customWidth="1"/>
    <col min="3" max="9" width="14.7109375" style="3" customWidth="1"/>
    <col min="10" max="10" width="12.85546875" style="4" customWidth="1"/>
    <col min="11" max="16384" width="8.85546875" style="1"/>
  </cols>
  <sheetData>
    <row r="1" spans="1:10" ht="21" customHeight="1" x14ac:dyDescent="0.25">
      <c r="A1" s="65" t="s">
        <v>122</v>
      </c>
      <c r="B1" s="65"/>
      <c r="C1" s="65"/>
      <c r="D1" s="65"/>
      <c r="E1" s="65"/>
      <c r="F1" s="65"/>
      <c r="G1" s="65"/>
      <c r="H1" s="65"/>
      <c r="I1" s="65"/>
      <c r="J1" s="65"/>
    </row>
    <row r="2" spans="1:10" ht="33" customHeight="1" x14ac:dyDescent="0.25">
      <c r="A2" s="8" t="s">
        <v>0</v>
      </c>
      <c r="B2" s="8" t="s">
        <v>2</v>
      </c>
      <c r="C2" s="6" t="s">
        <v>123</v>
      </c>
      <c r="D2" s="6" t="s">
        <v>124</v>
      </c>
      <c r="E2" s="6" t="s">
        <v>125</v>
      </c>
      <c r="F2" s="6" t="s">
        <v>126</v>
      </c>
      <c r="G2" s="6" t="s">
        <v>127</v>
      </c>
      <c r="H2" s="6" t="s">
        <v>128</v>
      </c>
      <c r="I2" s="6" t="s">
        <v>114</v>
      </c>
      <c r="J2" s="7" t="s">
        <v>4</v>
      </c>
    </row>
    <row r="3" spans="1:10" ht="21" customHeight="1" x14ac:dyDescent="0.25">
      <c r="A3" s="62" t="s">
        <v>5</v>
      </c>
      <c r="B3" s="15" t="s">
        <v>7</v>
      </c>
      <c r="C3" s="60">
        <v>1292949</v>
      </c>
      <c r="D3" s="60">
        <f>278925+555933+581950</f>
        <v>1416808</v>
      </c>
      <c r="E3" s="60">
        <f>288925+560158+617995</f>
        <v>1467078</v>
      </c>
      <c r="F3" s="60">
        <f>158925+579166+617995</f>
        <v>1356086</v>
      </c>
      <c r="G3" s="60">
        <f>153243+615713+617995</f>
        <v>1386951</v>
      </c>
      <c r="H3" s="60">
        <f>163425+576691+643554</f>
        <v>1383670</v>
      </c>
      <c r="I3" s="61">
        <f>SUM(C3:H6)</f>
        <v>8303542</v>
      </c>
      <c r="J3" s="48">
        <v>408</v>
      </c>
    </row>
    <row r="4" spans="1:10" ht="21" customHeight="1" x14ac:dyDescent="0.25">
      <c r="A4" s="62"/>
      <c r="B4" s="15" t="s">
        <v>9</v>
      </c>
      <c r="C4" s="60"/>
      <c r="D4" s="60"/>
      <c r="E4" s="60"/>
      <c r="F4" s="60"/>
      <c r="G4" s="60"/>
      <c r="H4" s="60"/>
      <c r="I4" s="61"/>
      <c r="J4" s="48">
        <v>162</v>
      </c>
    </row>
    <row r="5" spans="1:10" ht="21" customHeight="1" x14ac:dyDescent="0.25">
      <c r="A5" s="62"/>
      <c r="B5" s="15" t="s">
        <v>11</v>
      </c>
      <c r="C5" s="60"/>
      <c r="D5" s="60"/>
      <c r="E5" s="60"/>
      <c r="F5" s="60"/>
      <c r="G5" s="60"/>
      <c r="H5" s="60"/>
      <c r="I5" s="61"/>
      <c r="J5" s="48">
        <v>180</v>
      </c>
    </row>
    <row r="6" spans="1:10" ht="21" customHeight="1" x14ac:dyDescent="0.25">
      <c r="A6" s="62"/>
      <c r="B6" s="15" t="s">
        <v>13</v>
      </c>
      <c r="C6" s="60"/>
      <c r="D6" s="60"/>
      <c r="E6" s="60"/>
      <c r="F6" s="60"/>
      <c r="G6" s="60"/>
      <c r="H6" s="60"/>
      <c r="I6" s="61"/>
      <c r="J6" s="48">
        <v>1770</v>
      </c>
    </row>
    <row r="7" spans="1:10" ht="21" customHeight="1" x14ac:dyDescent="0.25">
      <c r="A7" s="63" t="s">
        <v>15</v>
      </c>
      <c r="B7" s="15" t="s">
        <v>17</v>
      </c>
      <c r="C7" s="60">
        <f>123605+89260+117289</f>
        <v>330154</v>
      </c>
      <c r="D7" s="60">
        <f>125125+87470+117288</f>
        <v>329883</v>
      </c>
      <c r="E7" s="60">
        <f>49405+91492+125029</f>
        <v>265926</v>
      </c>
      <c r="F7" s="60">
        <f>48605+104333+125029</f>
        <v>277967</v>
      </c>
      <c r="G7" s="60">
        <f>52923+102706+125029</f>
        <v>280658</v>
      </c>
      <c r="H7" s="60">
        <f>50105+116644+130365</f>
        <v>297114</v>
      </c>
      <c r="I7" s="61">
        <f>SUM(C7:H8)</f>
        <v>1781702</v>
      </c>
      <c r="J7" s="48">
        <v>178</v>
      </c>
    </row>
    <row r="8" spans="1:10" ht="21" customHeight="1" x14ac:dyDescent="0.25">
      <c r="A8" s="63"/>
      <c r="B8" s="15" t="s">
        <v>18</v>
      </c>
      <c r="C8" s="60"/>
      <c r="D8" s="60"/>
      <c r="E8" s="60"/>
      <c r="F8" s="60"/>
      <c r="G8" s="60"/>
      <c r="H8" s="60"/>
      <c r="I8" s="61"/>
      <c r="J8" s="48">
        <v>2950</v>
      </c>
    </row>
    <row r="9" spans="1:10" ht="21" customHeight="1" x14ac:dyDescent="0.25">
      <c r="A9" s="16" t="s">
        <v>19</v>
      </c>
      <c r="B9" s="15" t="s">
        <v>21</v>
      </c>
      <c r="C9" s="10">
        <f>SUM('[1]ANEXO III 22º TA'!$D$147:$H$148)</f>
        <v>259125</v>
      </c>
      <c r="D9" s="10">
        <f>SUM('[1]ANEXO III 22º TA'!$I$147:$M$148)</f>
        <v>261469</v>
      </c>
      <c r="E9" s="10">
        <v>289739</v>
      </c>
      <c r="F9" s="10">
        <v>324742</v>
      </c>
      <c r="G9" s="10">
        <v>292967</v>
      </c>
      <c r="H9" s="10">
        <v>301876</v>
      </c>
      <c r="I9" s="12">
        <f>SUM(C9:H9)</f>
        <v>1729918</v>
      </c>
      <c r="J9" s="48">
        <v>1590</v>
      </c>
    </row>
    <row r="10" spans="1:10" ht="21" customHeight="1" x14ac:dyDescent="0.25">
      <c r="A10" s="16" t="s">
        <v>22</v>
      </c>
      <c r="B10" s="15" t="s">
        <v>24</v>
      </c>
      <c r="C10" s="10">
        <f>SUM('[1]ANEXO III 22º TA'!$D$149:$H$149)</f>
        <v>403768</v>
      </c>
      <c r="D10" s="10">
        <f>SUM('[1]ANEXO III 22º TA'!$I$149:$M$149)</f>
        <v>392332</v>
      </c>
      <c r="E10" s="10">
        <v>409073</v>
      </c>
      <c r="F10" s="10">
        <v>404076</v>
      </c>
      <c r="G10" s="10">
        <v>437951</v>
      </c>
      <c r="H10" s="10">
        <v>440880</v>
      </c>
      <c r="I10" s="12">
        <f>SUM(C10:H10)</f>
        <v>2488080</v>
      </c>
      <c r="J10" s="48">
        <v>1650</v>
      </c>
    </row>
    <row r="11" spans="1:10" ht="21" customHeight="1" x14ac:dyDescent="0.25">
      <c r="A11" s="66"/>
      <c r="B11" s="66"/>
      <c r="C11" s="66"/>
      <c r="D11" s="66"/>
      <c r="E11" s="66"/>
      <c r="F11" s="66"/>
      <c r="G11" s="66"/>
      <c r="H11" s="66"/>
      <c r="I11" s="66"/>
      <c r="J11" s="66"/>
    </row>
    <row r="12" spans="1:10" ht="21" customHeight="1" x14ac:dyDescent="0.25">
      <c r="A12" s="15" t="s">
        <v>116</v>
      </c>
      <c r="B12" s="15" t="s">
        <v>27</v>
      </c>
      <c r="C12" s="10">
        <f>SUM('[1]ANEXO III 22º TA'!$D$153:$H$153)</f>
        <v>450624</v>
      </c>
      <c r="D12" s="10">
        <f>SUM('[1]ANEXO III 22º TA'!$I$153:$M$153)</f>
        <v>517915</v>
      </c>
      <c r="E12" s="10">
        <v>450721</v>
      </c>
      <c r="F12" s="10">
        <v>554857</v>
      </c>
      <c r="G12" s="10">
        <v>420052</v>
      </c>
      <c r="H12" s="10">
        <v>429485</v>
      </c>
      <c r="I12" s="12">
        <f>SUM(C12:H12)</f>
        <v>2823654</v>
      </c>
      <c r="J12" s="48">
        <v>2750</v>
      </c>
    </row>
    <row r="13" spans="1:10" ht="21" customHeight="1" x14ac:dyDescent="0.25">
      <c r="A13" s="15" t="s">
        <v>117</v>
      </c>
      <c r="B13" s="15" t="s">
        <v>31</v>
      </c>
      <c r="C13" s="10">
        <f>83345+66901</f>
        <v>150246</v>
      </c>
      <c r="D13" s="10">
        <f>10442+80911+66901</f>
        <v>158254</v>
      </c>
      <c r="E13" s="10">
        <f>9712+75911+70933</f>
        <v>156556</v>
      </c>
      <c r="F13" s="10">
        <f>8912+84311+70933</f>
        <v>164156</v>
      </c>
      <c r="G13" s="10">
        <f>8912+86568+70933</f>
        <v>166413</v>
      </c>
      <c r="H13" s="10">
        <f>8912+86627+73759</f>
        <v>169298</v>
      </c>
      <c r="I13" s="12">
        <f t="shared" ref="I13:I15" si="0">SUM(C13:H13)</f>
        <v>964923</v>
      </c>
      <c r="J13" s="48">
        <v>900</v>
      </c>
    </row>
    <row r="14" spans="1:10" ht="21" customHeight="1" x14ac:dyDescent="0.25">
      <c r="A14" s="15" t="s">
        <v>33</v>
      </c>
      <c r="B14" s="15" t="s">
        <v>35</v>
      </c>
      <c r="C14" s="10">
        <f>1100+12000000+201743+304445</f>
        <v>12507288</v>
      </c>
      <c r="D14" s="10">
        <f>1100+12000000+748951+304445</f>
        <v>13054496</v>
      </c>
      <c r="E14" s="10">
        <f>1895+12000000+127392+324354</f>
        <v>12453641</v>
      </c>
      <c r="F14" s="10">
        <f>1100+12000000+127503+324354</f>
        <v>12452957</v>
      </c>
      <c r="G14" s="10">
        <f>5411+12000000+129842+324354</f>
        <v>12459607</v>
      </c>
      <c r="H14" s="10">
        <f>1100+12000000+129902+338295</f>
        <v>12469297</v>
      </c>
      <c r="I14" s="12">
        <f t="shared" si="0"/>
        <v>75397286</v>
      </c>
      <c r="J14" s="48">
        <v>84000</v>
      </c>
    </row>
    <row r="15" spans="1:10" ht="21" customHeight="1" x14ac:dyDescent="0.25">
      <c r="A15" s="15" t="s">
        <v>118</v>
      </c>
      <c r="B15" s="15" t="s">
        <v>39</v>
      </c>
      <c r="C15" s="10">
        <f>683+29170+59901</f>
        <v>89754</v>
      </c>
      <c r="D15" s="10">
        <f>684+24228+59901</f>
        <v>84813</v>
      </c>
      <c r="E15" s="10">
        <f>1084+24228+63779</f>
        <v>89091</v>
      </c>
      <c r="F15" s="10">
        <f>683+24228+63779</f>
        <v>88690</v>
      </c>
      <c r="G15" s="10">
        <f>684+185128+63779</f>
        <v>249591</v>
      </c>
      <c r="H15" s="10">
        <f>683+24417+66434.74</f>
        <v>91534.74</v>
      </c>
      <c r="I15" s="12">
        <f t="shared" si="0"/>
        <v>693473.74</v>
      </c>
      <c r="J15" s="48">
        <v>5000</v>
      </c>
    </row>
    <row r="16" spans="1:10" ht="21" customHeight="1" x14ac:dyDescent="0.25">
      <c r="A16" s="66"/>
      <c r="B16" s="66"/>
      <c r="C16" s="66"/>
      <c r="D16" s="66"/>
      <c r="E16" s="66"/>
      <c r="F16" s="66"/>
      <c r="G16" s="66"/>
      <c r="H16" s="66"/>
      <c r="I16" s="66"/>
      <c r="J16" s="66"/>
    </row>
    <row r="17" spans="1:10" ht="21" customHeight="1" x14ac:dyDescent="0.25">
      <c r="A17" s="15" t="s">
        <v>41</v>
      </c>
      <c r="B17" s="15" t="s">
        <v>43</v>
      </c>
      <c r="C17" s="10">
        <f>4075+50221+151630</f>
        <v>205926</v>
      </c>
      <c r="D17" s="10">
        <f>4075+50431+151631</f>
        <v>206137</v>
      </c>
      <c r="E17" s="10">
        <f>4275+50431+161847</f>
        <v>216553</v>
      </c>
      <c r="F17" s="10">
        <f>4075+50931+161847</f>
        <v>216853</v>
      </c>
      <c r="G17" s="10">
        <f>4075+50485+161847</f>
        <v>216407</v>
      </c>
      <c r="H17" s="10">
        <f>19075+50485+168668</f>
        <v>238228</v>
      </c>
      <c r="I17" s="12">
        <f>SUM(C17:H17)</f>
        <v>1300104</v>
      </c>
      <c r="J17" s="48">
        <v>85</v>
      </c>
    </row>
    <row r="18" spans="1:10" ht="21" customHeight="1" x14ac:dyDescent="0.25">
      <c r="A18" s="62" t="s">
        <v>45</v>
      </c>
      <c r="B18" s="15" t="s">
        <v>47</v>
      </c>
      <c r="C18" s="60">
        <f>26000+2833659+436042+1010000</f>
        <v>4305701</v>
      </c>
      <c r="D18" s="60">
        <f>26000+2425017+436042+1010000</f>
        <v>3897059</v>
      </c>
      <c r="E18" s="60">
        <f>26000+2743799+463747+1010000</f>
        <v>4243546</v>
      </c>
      <c r="F18" s="60">
        <f>26000+2533493+463474+1010000</f>
        <v>4032967</v>
      </c>
      <c r="G18" s="60">
        <f>33000+4421202+463747+1010000</f>
        <v>5927949</v>
      </c>
      <c r="H18" s="60">
        <f>33000+4376859+482395+1010000</f>
        <v>5902254</v>
      </c>
      <c r="I18" s="61">
        <f>SUM(C18:H19)</f>
        <v>28309476</v>
      </c>
      <c r="J18" s="48">
        <v>146825</v>
      </c>
    </row>
    <row r="19" spans="1:10" ht="21" customHeight="1" x14ac:dyDescent="0.25">
      <c r="A19" s="62"/>
      <c r="B19" s="15" t="s">
        <v>49</v>
      </c>
      <c r="C19" s="60"/>
      <c r="D19" s="60"/>
      <c r="E19" s="60"/>
      <c r="F19" s="60"/>
      <c r="G19" s="60"/>
      <c r="H19" s="60"/>
      <c r="I19" s="61"/>
      <c r="J19" s="48">
        <v>360</v>
      </c>
    </row>
    <row r="20" spans="1:10" ht="21" customHeight="1" x14ac:dyDescent="0.25">
      <c r="A20" s="15" t="s">
        <v>51</v>
      </c>
      <c r="B20" s="15" t="s">
        <v>53</v>
      </c>
      <c r="C20" s="10">
        <f>SUM('[1]ANEXO III 22º TA'!$D$162:$H$162)</f>
        <v>426018</v>
      </c>
      <c r="D20" s="10">
        <f>SUM('[1]ANEXO III 22º TA'!$I$162:$M$162)</f>
        <v>441896</v>
      </c>
      <c r="E20" s="10">
        <v>458276</v>
      </c>
      <c r="F20" s="10">
        <v>633114</v>
      </c>
      <c r="G20" s="10">
        <v>690491</v>
      </c>
      <c r="H20" s="10">
        <v>645102</v>
      </c>
      <c r="I20" s="12">
        <f>SUM(C20:H20)</f>
        <v>3294897</v>
      </c>
      <c r="J20" s="48">
        <v>2070</v>
      </c>
    </row>
    <row r="21" spans="1:10" ht="21" customHeight="1" x14ac:dyDescent="0.25">
      <c r="A21" s="15" t="s">
        <v>55</v>
      </c>
      <c r="B21" s="15" t="s">
        <v>57</v>
      </c>
      <c r="C21" s="10">
        <f>SUM('[1]ANEXO III 22º TA'!$D$163:$H$165)</f>
        <v>3612242</v>
      </c>
      <c r="D21" s="10">
        <f>SUM('[1]ANEXO III 22º TA'!$I$163:$M$165)</f>
        <v>4088968</v>
      </c>
      <c r="E21" s="10">
        <v>3948070</v>
      </c>
      <c r="F21" s="10">
        <f>SUM('[1]ANEXO III 22º TA'!$I$208:$M$210)</f>
        <v>4317233</v>
      </c>
      <c r="G21" s="10">
        <v>4072518</v>
      </c>
      <c r="H21" s="10">
        <v>3939924</v>
      </c>
      <c r="I21" s="12">
        <f>SUM(C21:H21)</f>
        <v>23978955</v>
      </c>
      <c r="J21" s="48">
        <v>2000755</v>
      </c>
    </row>
    <row r="22" spans="1:10" ht="21" customHeight="1" x14ac:dyDescent="0.25">
      <c r="A22" s="15" t="s">
        <v>59</v>
      </c>
      <c r="B22" s="15" t="s">
        <v>61</v>
      </c>
      <c r="C22" s="10">
        <f>12413+130449+44219+20000</f>
        <v>207081</v>
      </c>
      <c r="D22" s="10">
        <f>3613+113642+44219</f>
        <v>161474</v>
      </c>
      <c r="E22" s="10">
        <f>4112+63642+47151+130000</f>
        <v>244905</v>
      </c>
      <c r="F22" s="10">
        <f>12412+93690+47151+30000</f>
        <v>183253</v>
      </c>
      <c r="G22" s="10">
        <f>7930+68712+47151</f>
        <v>123793</v>
      </c>
      <c r="H22" s="10">
        <f>8413+68791+49054</f>
        <v>126258</v>
      </c>
      <c r="I22" s="12">
        <f t="shared" ref="I22" si="1">SUM(C22:H22)</f>
        <v>1046764</v>
      </c>
      <c r="J22" s="48">
        <v>300000</v>
      </c>
    </row>
    <row r="23" spans="1:10" ht="21" customHeight="1" x14ac:dyDescent="0.25">
      <c r="A23" s="66"/>
      <c r="B23" s="66"/>
      <c r="C23" s="66"/>
      <c r="D23" s="66"/>
      <c r="E23" s="66"/>
      <c r="F23" s="66"/>
      <c r="G23" s="66"/>
      <c r="H23" s="66"/>
      <c r="I23" s="66"/>
      <c r="J23" s="66"/>
    </row>
    <row r="24" spans="1:10" ht="21" customHeight="1" x14ac:dyDescent="0.25">
      <c r="A24" s="62" t="s">
        <v>63</v>
      </c>
      <c r="B24" s="17" t="s">
        <v>65</v>
      </c>
      <c r="C24" s="60">
        <f>14668+51876</f>
        <v>66544</v>
      </c>
      <c r="D24" s="60">
        <f>14825+51876</f>
        <v>66701</v>
      </c>
      <c r="E24" s="60">
        <f>15325+55158+1300</f>
        <v>71783</v>
      </c>
      <c r="F24" s="60">
        <f>15843+55158</f>
        <v>71001</v>
      </c>
      <c r="G24" s="60">
        <f>15229+55158</f>
        <v>70387</v>
      </c>
      <c r="H24" s="60">
        <f>12901+57442</f>
        <v>70343</v>
      </c>
      <c r="I24" s="61">
        <f>SUM(C24:H26)</f>
        <v>416759</v>
      </c>
      <c r="J24" s="48">
        <v>860</v>
      </c>
    </row>
    <row r="25" spans="1:10" ht="21" customHeight="1" x14ac:dyDescent="0.25">
      <c r="A25" s="62"/>
      <c r="B25" s="17" t="s">
        <v>67</v>
      </c>
      <c r="C25" s="60"/>
      <c r="D25" s="60"/>
      <c r="E25" s="60"/>
      <c r="F25" s="60"/>
      <c r="G25" s="60"/>
      <c r="H25" s="60"/>
      <c r="I25" s="61"/>
      <c r="J25" s="48">
        <v>42</v>
      </c>
    </row>
    <row r="26" spans="1:10" ht="21" customHeight="1" x14ac:dyDescent="0.25">
      <c r="A26" s="62"/>
      <c r="B26" s="17" t="s">
        <v>69</v>
      </c>
      <c r="C26" s="60"/>
      <c r="D26" s="60"/>
      <c r="E26" s="60"/>
      <c r="F26" s="60"/>
      <c r="G26" s="60"/>
      <c r="H26" s="60"/>
      <c r="I26" s="61"/>
      <c r="J26" s="48">
        <v>300</v>
      </c>
    </row>
    <row r="27" spans="1:10" ht="21" customHeight="1" x14ac:dyDescent="0.25">
      <c r="A27" s="15" t="s">
        <v>71</v>
      </c>
      <c r="B27" s="17" t="s">
        <v>73</v>
      </c>
      <c r="C27" s="10">
        <f>18783+199403</f>
        <v>218186</v>
      </c>
      <c r="D27" s="10">
        <f>4485+21900+199403</f>
        <v>225788</v>
      </c>
      <c r="E27" s="10">
        <f>21900+213155</f>
        <v>235055</v>
      </c>
      <c r="F27" s="10">
        <f>785+21900+213155</f>
        <v>235840</v>
      </c>
      <c r="G27" s="10">
        <f>23841+213155</f>
        <v>236996</v>
      </c>
      <c r="H27" s="10">
        <f>4485+20980+223244</f>
        <v>248709</v>
      </c>
      <c r="I27" s="12">
        <f>SUM(C27:H27)</f>
        <v>1400574</v>
      </c>
      <c r="J27" s="48">
        <v>780</v>
      </c>
    </row>
    <row r="28" spans="1:10" ht="21" customHeight="1" x14ac:dyDescent="0.25">
      <c r="A28" s="62" t="s">
        <v>75</v>
      </c>
      <c r="B28" s="17" t="s">
        <v>77</v>
      </c>
      <c r="C28" s="60">
        <v>0</v>
      </c>
      <c r="D28" s="60">
        <v>0</v>
      </c>
      <c r="E28" s="60">
        <v>254000</v>
      </c>
      <c r="F28" s="60">
        <v>91000</v>
      </c>
      <c r="G28" s="60">
        <f>281952</f>
        <v>281952</v>
      </c>
      <c r="H28" s="60">
        <f>392357+130000</f>
        <v>522357</v>
      </c>
      <c r="I28" s="61">
        <f>SUM(C28:H29)</f>
        <v>1149309</v>
      </c>
      <c r="J28" s="48">
        <v>400000</v>
      </c>
    </row>
    <row r="29" spans="1:10" ht="21" customHeight="1" x14ac:dyDescent="0.25">
      <c r="A29" s="62"/>
      <c r="B29" s="17" t="s">
        <v>79</v>
      </c>
      <c r="C29" s="60"/>
      <c r="D29" s="60"/>
      <c r="E29" s="60"/>
      <c r="F29" s="60"/>
      <c r="G29" s="60"/>
      <c r="H29" s="60"/>
      <c r="I29" s="61"/>
      <c r="J29" s="48"/>
    </row>
    <row r="30" spans="1:10" ht="21" customHeight="1" x14ac:dyDescent="0.25">
      <c r="A30" s="62" t="s">
        <v>81</v>
      </c>
      <c r="B30" s="17" t="s">
        <v>82</v>
      </c>
      <c r="C30" s="60">
        <v>185000</v>
      </c>
      <c r="D30" s="60">
        <v>0</v>
      </c>
      <c r="E30" s="60">
        <v>0</v>
      </c>
      <c r="F30" s="60">
        <v>0</v>
      </c>
      <c r="G30" s="60">
        <v>0</v>
      </c>
      <c r="H30" s="60">
        <v>0</v>
      </c>
      <c r="I30" s="61">
        <f>SUM(C30:H31)</f>
        <v>185000</v>
      </c>
      <c r="J30" s="48"/>
    </row>
    <row r="31" spans="1:10" ht="21" customHeight="1" x14ac:dyDescent="0.25">
      <c r="A31" s="62"/>
      <c r="B31" s="17" t="s">
        <v>84</v>
      </c>
      <c r="C31" s="60"/>
      <c r="D31" s="60"/>
      <c r="E31" s="60"/>
      <c r="F31" s="60"/>
      <c r="G31" s="60"/>
      <c r="H31" s="60"/>
      <c r="I31" s="61"/>
      <c r="J31" s="48"/>
    </row>
    <row r="32" spans="1:10" ht="21" customHeight="1" x14ac:dyDescent="0.25">
      <c r="C32" s="26">
        <f>SUM(C24:C31,C17:C22,C12:C15,C3:C10)</f>
        <v>24710606</v>
      </c>
      <c r="D32" s="26">
        <f t="shared" ref="D32:J32" si="2">SUM(D24:D31,D17:D22,D12:D15,D3:D10)</f>
        <v>25303993</v>
      </c>
      <c r="E32" s="26">
        <f t="shared" si="2"/>
        <v>25254013</v>
      </c>
      <c r="F32" s="26">
        <f t="shared" si="2"/>
        <v>25404792</v>
      </c>
      <c r="G32" s="26">
        <f t="shared" si="2"/>
        <v>27314683</v>
      </c>
      <c r="H32" s="26">
        <f t="shared" si="2"/>
        <v>27276329.739999998</v>
      </c>
      <c r="I32" s="26">
        <f>SUM(I24:I31,I17:I22,I12:I15,I3:I10)</f>
        <v>155264416.74000001</v>
      </c>
      <c r="J32" s="49">
        <f t="shared" si="2"/>
        <v>2953615</v>
      </c>
    </row>
    <row r="33" spans="1:11" ht="21" customHeight="1" x14ac:dyDescent="0.25">
      <c r="J33" s="3"/>
    </row>
    <row r="34" spans="1:11" ht="21" customHeight="1" x14ac:dyDescent="0.25">
      <c r="B34" s="11" t="s">
        <v>143</v>
      </c>
      <c r="C34" s="26">
        <f>818002+2471924+795392+153274</f>
        <v>4238592</v>
      </c>
      <c r="D34" s="26">
        <f>491900+2471924+795392+153274</f>
        <v>3912490</v>
      </c>
      <c r="E34" s="26">
        <f>811417+2639784+795392+163414+119620</f>
        <v>4529627</v>
      </c>
      <c r="F34" s="26">
        <f>515527+2639784+795392+163414</f>
        <v>4114117</v>
      </c>
      <c r="G34" s="26">
        <f>537093+2639784+795392+163414</f>
        <v>4135683</v>
      </c>
      <c r="H34" s="26">
        <f>588765+2754254+795392+170379</f>
        <v>4308790</v>
      </c>
      <c r="I34" s="26">
        <f>SUM(C34:H34)</f>
        <v>25239299</v>
      </c>
      <c r="J34" s="29"/>
      <c r="K34" s="30"/>
    </row>
    <row r="35" spans="1:11" ht="21" customHeight="1" x14ac:dyDescent="0.25">
      <c r="B35" s="11" t="s">
        <v>114</v>
      </c>
      <c r="C35" s="26">
        <f>C32+C34</f>
        <v>28949198</v>
      </c>
      <c r="D35" s="26">
        <f>D32+D34</f>
        <v>29216483</v>
      </c>
      <c r="E35" s="26">
        <f t="shared" ref="E35:I35" si="3">E32+E34</f>
        <v>29783640</v>
      </c>
      <c r="F35" s="26">
        <f t="shared" si="3"/>
        <v>29518909</v>
      </c>
      <c r="G35" s="26">
        <f t="shared" si="3"/>
        <v>31450366</v>
      </c>
      <c r="H35" s="26">
        <f t="shared" si="3"/>
        <v>31585119.739999998</v>
      </c>
      <c r="I35" s="26">
        <f t="shared" si="3"/>
        <v>180503715.74000001</v>
      </c>
      <c r="J35" s="29"/>
      <c r="K35" s="30"/>
    </row>
    <row r="36" spans="1:11" ht="21" customHeight="1" x14ac:dyDescent="0.25">
      <c r="B36" s="27"/>
      <c r="C36" s="28"/>
      <c r="D36" s="28"/>
      <c r="E36" s="28"/>
      <c r="F36" s="28"/>
      <c r="G36" s="28"/>
      <c r="H36" s="28"/>
      <c r="I36" s="28"/>
      <c r="J36" s="29"/>
      <c r="K36" s="30"/>
    </row>
    <row r="37" spans="1:11" ht="21" customHeight="1" x14ac:dyDescent="0.25">
      <c r="A37" s="11" t="s">
        <v>120</v>
      </c>
      <c r="B37" s="11" t="s">
        <v>119</v>
      </c>
      <c r="C37" s="26">
        <f>1774358+20023686+6057814+1073340+20000</f>
        <v>28949198</v>
      </c>
      <c r="D37" s="26">
        <f>1429905+20639104+6057814+1072500+17160</f>
        <v>29216483</v>
      </c>
      <c r="E37" s="26">
        <f>1786780+20209497+6405943+1323420+58000</f>
        <v>29783640</v>
      </c>
      <c r="F37" s="26">
        <f>1415079+20558080+6405670+1102500+37580</f>
        <v>29518909</v>
      </c>
      <c r="G37" s="26">
        <f>1686710+22285213+6405943+1072500</f>
        <v>31450366</v>
      </c>
      <c r="H37" s="26">
        <f>1822675+21914864+6645080.74+1202500</f>
        <v>31585119.740000002</v>
      </c>
      <c r="I37" s="26"/>
      <c r="J37" s="29"/>
      <c r="K37" s="30"/>
    </row>
    <row r="38" spans="1:11" ht="21" customHeight="1" x14ac:dyDescent="0.25">
      <c r="B38" s="11" t="s">
        <v>121</v>
      </c>
      <c r="C38" s="26">
        <f>C35-C37</f>
        <v>0</v>
      </c>
      <c r="D38" s="26">
        <f>D35-D37</f>
        <v>0</v>
      </c>
      <c r="E38" s="26">
        <f t="shared" ref="E38:H38" si="4">E35-E37</f>
        <v>0</v>
      </c>
      <c r="F38" s="26">
        <f t="shared" si="4"/>
        <v>0</v>
      </c>
      <c r="G38" s="26">
        <f t="shared" si="4"/>
        <v>0</v>
      </c>
      <c r="H38" s="26">
        <f t="shared" si="4"/>
        <v>0</v>
      </c>
      <c r="I38" s="26">
        <f>I35-I37</f>
        <v>180503715.74000001</v>
      </c>
      <c r="J38" s="29"/>
      <c r="K38" s="30"/>
    </row>
  </sheetData>
  <sheetProtection formatCells="0" formatColumns="0"/>
  <mergeCells count="52">
    <mergeCell ref="A1:J1"/>
    <mergeCell ref="A3:A6"/>
    <mergeCell ref="C3:C6"/>
    <mergeCell ref="D3:D6"/>
    <mergeCell ref="E3:E6"/>
    <mergeCell ref="F3:F6"/>
    <mergeCell ref="G3:G6"/>
    <mergeCell ref="H3:H6"/>
    <mergeCell ref="I3:I6"/>
    <mergeCell ref="H7:H8"/>
    <mergeCell ref="I7:I8"/>
    <mergeCell ref="A11:J11"/>
    <mergeCell ref="A16:J16"/>
    <mergeCell ref="A18:A19"/>
    <mergeCell ref="C18:C19"/>
    <mergeCell ref="D18:D19"/>
    <mergeCell ref="E18:E19"/>
    <mergeCell ref="F18:F19"/>
    <mergeCell ref="G18:G19"/>
    <mergeCell ref="A7:A8"/>
    <mergeCell ref="C7:C8"/>
    <mergeCell ref="D7:D8"/>
    <mergeCell ref="E7:E8"/>
    <mergeCell ref="F7:F8"/>
    <mergeCell ref="G7:G8"/>
    <mergeCell ref="H18:H19"/>
    <mergeCell ref="I18:I19"/>
    <mergeCell ref="A23:J23"/>
    <mergeCell ref="A24:A26"/>
    <mergeCell ref="C24:C26"/>
    <mergeCell ref="D24:D26"/>
    <mergeCell ref="E24:E26"/>
    <mergeCell ref="F24:F26"/>
    <mergeCell ref="G24:G26"/>
    <mergeCell ref="H24:H26"/>
    <mergeCell ref="I24:I26"/>
    <mergeCell ref="A28:A29"/>
    <mergeCell ref="C28:C29"/>
    <mergeCell ref="D28:D29"/>
    <mergeCell ref="E28:E29"/>
    <mergeCell ref="F28:F29"/>
    <mergeCell ref="G28:G29"/>
    <mergeCell ref="H28:H29"/>
    <mergeCell ref="I28:I29"/>
    <mergeCell ref="H30:H31"/>
    <mergeCell ref="I30:I31"/>
    <mergeCell ref="G30:G31"/>
    <mergeCell ref="A30:A31"/>
    <mergeCell ref="C30:C31"/>
    <mergeCell ref="D30:D31"/>
    <mergeCell ref="E30:E31"/>
    <mergeCell ref="F30:F31"/>
  </mergeCells>
  <printOptions horizontalCentered="1"/>
  <pageMargins left="0.19685039370078741" right="0.19685039370078741" top="1.1811023622047245" bottom="0.59055118110236227" header="0.11811023622047245" footer="0.11811023622047245"/>
  <pageSetup paperSize="9" scale="95" fitToHeight="0" orientation="landscape" r:id="rId1"/>
  <headerFooter>
    <oddHeader>&amp;L&amp;G&amp;C&amp;"Arial,Negrito"&amp;10ORGANIZAÇÃO DAS VOLUNTÁRIAS DE GOIÁS
INDICADOR DE DESEMPENHO 2024/1</oddHeader>
    <oddFooter>&amp;R&amp;P de &amp;N</oddFooter>
  </headerFooter>
  <rowBreaks count="1" manualBreakCount="1">
    <brk id="22" max="9"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W66"/>
  <sheetViews>
    <sheetView zoomScaleNormal="100" zoomScaleSheetLayoutView="100" workbookViewId="0">
      <pane ySplit="2" topLeftCell="A21" activePane="bottomLeft" state="frozen"/>
      <selection pane="bottomLeft" activeCell="A38" sqref="A38:H40"/>
    </sheetView>
  </sheetViews>
  <sheetFormatPr defaultColWidth="8.85546875" defaultRowHeight="12.75" x14ac:dyDescent="0.25"/>
  <cols>
    <col min="1" max="1" width="12.7109375" style="42" customWidth="1"/>
    <col min="2" max="2" width="40.7109375" style="43" customWidth="1"/>
    <col min="3" max="3" width="8.7109375" style="43" customWidth="1"/>
    <col min="4" max="4" width="41.7109375" style="34" customWidth="1"/>
    <col min="5" max="5" width="15.7109375" style="3" customWidth="1"/>
    <col min="6" max="6" width="15.7109375" style="38" customWidth="1"/>
    <col min="7" max="7" width="15.7109375" style="3" customWidth="1"/>
    <col min="8" max="8" width="15.7109375" style="38" customWidth="1"/>
    <col min="9" max="13" width="12.7109375" style="38" customWidth="1"/>
    <col min="14" max="14" width="8.85546875" style="51"/>
    <col min="15" max="15" width="11.7109375" style="51" bestFit="1" customWidth="1"/>
    <col min="16" max="49" width="8.85546875" style="51"/>
    <col min="50" max="16384" width="8.85546875" style="34"/>
  </cols>
  <sheetData>
    <row r="1" spans="1:22" ht="21" customHeight="1" x14ac:dyDescent="0.25">
      <c r="A1" s="62" t="s">
        <v>87</v>
      </c>
      <c r="B1" s="62"/>
      <c r="C1" s="62"/>
      <c r="D1" s="62"/>
      <c r="E1" s="62"/>
      <c r="F1" s="62"/>
      <c r="G1" s="62"/>
      <c r="H1" s="62"/>
      <c r="I1" s="62" t="s">
        <v>104</v>
      </c>
      <c r="J1" s="62"/>
      <c r="K1" s="62"/>
      <c r="L1" s="62"/>
      <c r="M1" s="62"/>
    </row>
    <row r="2" spans="1:22" ht="33" customHeight="1" x14ac:dyDescent="0.25">
      <c r="A2" s="15" t="s">
        <v>0</v>
      </c>
      <c r="B2" s="15" t="s">
        <v>1</v>
      </c>
      <c r="C2" s="15" t="s">
        <v>2</v>
      </c>
      <c r="D2" s="15" t="s">
        <v>3</v>
      </c>
      <c r="E2" s="6" t="s">
        <v>102</v>
      </c>
      <c r="F2" s="7" t="s">
        <v>4</v>
      </c>
      <c r="G2" s="6" t="s">
        <v>103</v>
      </c>
      <c r="H2" s="7" t="s">
        <v>86</v>
      </c>
      <c r="I2" s="6" t="s">
        <v>91</v>
      </c>
      <c r="J2" s="6" t="s">
        <v>88</v>
      </c>
      <c r="K2" s="6" t="s">
        <v>137</v>
      </c>
      <c r="L2" s="6" t="s">
        <v>89</v>
      </c>
      <c r="M2" s="6" t="s">
        <v>90</v>
      </c>
    </row>
    <row r="3" spans="1:22" ht="21" customHeight="1" x14ac:dyDescent="0.25">
      <c r="A3" s="72" t="s">
        <v>5</v>
      </c>
      <c r="B3" s="73" t="s">
        <v>6</v>
      </c>
      <c r="C3" s="18" t="s">
        <v>7</v>
      </c>
      <c r="D3" s="19" t="s">
        <v>8</v>
      </c>
      <c r="E3" s="60">
        <f>'Planejado 2023-2'!$I$3</f>
        <v>8673123</v>
      </c>
      <c r="F3" s="46">
        <f>'Planejado 2023-2'!J3</f>
        <v>396</v>
      </c>
      <c r="G3" s="60">
        <v>5779911.0800000001</v>
      </c>
      <c r="H3" s="46">
        <v>396</v>
      </c>
      <c r="I3" s="32">
        <v>96.67</v>
      </c>
      <c r="J3" s="32">
        <f>IF(IFERROR((H3/F3)*100,0)&gt;100,100,IFERROR((H3/F3)*100,0))</f>
        <v>100</v>
      </c>
      <c r="K3" s="32">
        <f>IF(IFERROR(((H3/$G$3)/(F3/$E$3))*100,0)&gt;100,100,IFERROR(((H3/$G$3)/(F3/$E$3))*100,0))</f>
        <v>100</v>
      </c>
      <c r="L3" s="32">
        <f>IF(IFERROR(((($E$3/F3)-($G$3/H3))/($G$3/H3))+1*100,0)&gt;100,100,IFERROR(((($E$3/F3)-($G$3/H3))/($G$3/H3))+1*100,0))</f>
        <v>100</v>
      </c>
      <c r="M3" s="33">
        <f>((I3*0.2+J3*0.35+K3*0.3+L3*0.15))</f>
        <v>99.334000000000003</v>
      </c>
      <c r="O3" s="59"/>
      <c r="P3" s="59"/>
      <c r="Q3" s="59"/>
      <c r="R3" s="59"/>
      <c r="S3" s="59"/>
      <c r="T3" s="59"/>
      <c r="U3" s="59"/>
      <c r="V3" s="59"/>
    </row>
    <row r="4" spans="1:22" ht="21" customHeight="1" x14ac:dyDescent="0.25">
      <c r="A4" s="72"/>
      <c r="B4" s="73"/>
      <c r="C4" s="18" t="s">
        <v>9</v>
      </c>
      <c r="D4" s="19" t="s">
        <v>10</v>
      </c>
      <c r="E4" s="60"/>
      <c r="F4" s="46">
        <f>'Planejado 2023-2'!J4</f>
        <v>150</v>
      </c>
      <c r="G4" s="60"/>
      <c r="H4" s="46">
        <v>148</v>
      </c>
      <c r="I4" s="32">
        <v>73.91</v>
      </c>
      <c r="J4" s="32">
        <f>IF(IFERROR((H4/F4)*100,0)&gt;100,100,IFERROR((H4/F4)*100,0))</f>
        <v>98.666666666666671</v>
      </c>
      <c r="K4" s="32">
        <f>IF(IFERROR(((H4/$G$3)/(F4/$E$3))*100,0)&gt;100,100,IFERROR(((H4/$G$3)/(F4/$E$3))*100,0))</f>
        <v>100</v>
      </c>
      <c r="L4" s="32">
        <f>IF(IFERROR(((($E$3/F4)-($G$3/H4))/($G$3/H4))+1*100,0)&gt;100,100,IFERROR(((($E$3/F4)-($G$3/H4))/($G$3/H4))+1*100,0))</f>
        <v>100</v>
      </c>
      <c r="M4" s="33">
        <f t="shared" ref="M4:M6" si="0">((I4*0.2+J4*0.35+K4*0.3+L4*0.15))</f>
        <v>94.315333333333328</v>
      </c>
    </row>
    <row r="5" spans="1:22" ht="21" customHeight="1" x14ac:dyDescent="0.25">
      <c r="A5" s="72"/>
      <c r="B5" s="73"/>
      <c r="C5" s="18" t="s">
        <v>11</v>
      </c>
      <c r="D5" s="19" t="s">
        <v>12</v>
      </c>
      <c r="E5" s="60"/>
      <c r="F5" s="46">
        <f>'Planejado 2023-2'!J5</f>
        <v>180</v>
      </c>
      <c r="G5" s="60"/>
      <c r="H5" s="46">
        <v>180</v>
      </c>
      <c r="I5" s="32">
        <v>100</v>
      </c>
      <c r="J5" s="32">
        <f t="shared" ref="J5:J10" si="1">IF(IFERROR((H5/F5)*100,0)&gt;100,100,IFERROR((H5/F5)*100,0))</f>
        <v>100</v>
      </c>
      <c r="K5" s="32">
        <f>IF(IFERROR(((H5/$G$3)/(F5/$E$3))*100,0)&gt;100,100,IFERROR(((H5/$G$3)/(F5/$E$3))*100,0))</f>
        <v>100</v>
      </c>
      <c r="L5" s="32">
        <f>IF(IFERROR(((($E$3/F5)-($G$3/H5))/($G$3/H5))+1*100,0)&gt;100,100,IFERROR(((($E$3/F5)-($G$3/H5))/($G$3/H5))+1*100,0))</f>
        <v>100</v>
      </c>
      <c r="M5" s="33">
        <f t="shared" si="0"/>
        <v>100</v>
      </c>
    </row>
    <row r="6" spans="1:22" ht="21" customHeight="1" x14ac:dyDescent="0.25">
      <c r="A6" s="72"/>
      <c r="B6" s="73"/>
      <c r="C6" s="18" t="s">
        <v>13</v>
      </c>
      <c r="D6" s="19" t="s">
        <v>14</v>
      </c>
      <c r="E6" s="60"/>
      <c r="F6" s="46">
        <f>'Planejado 2023-2'!J6</f>
        <v>1740</v>
      </c>
      <c r="G6" s="60"/>
      <c r="H6" s="46">
        <v>2053</v>
      </c>
      <c r="I6" s="32">
        <v>98.16</v>
      </c>
      <c r="J6" s="32">
        <f>IF(IFERROR((H6/F6)*100,0)&gt;100,100,IFERROR((H6/F6)*100,0))</f>
        <v>100</v>
      </c>
      <c r="K6" s="32">
        <f>IF(IFERROR(((H6/$G$3)/(F6/$E$3))*100,0)&gt;100,100,IFERROR(((H6/$G$3)/(F6/$E$3))*100,0))</f>
        <v>100</v>
      </c>
      <c r="L6" s="32">
        <f>IF(IFERROR(((($E$3/F6)-($G$3/H6))/($G$3/H6))+1*100,0)&gt;100,100,IFERROR(((($E$3/F6)-($G$3/H6))/($G$3/H6))+1*100,0))</f>
        <v>100</v>
      </c>
      <c r="M6" s="33">
        <f t="shared" si="0"/>
        <v>99.632000000000005</v>
      </c>
      <c r="O6" s="57"/>
    </row>
    <row r="7" spans="1:22" ht="21" customHeight="1" x14ac:dyDescent="0.25">
      <c r="A7" s="72" t="s">
        <v>15</v>
      </c>
      <c r="B7" s="73" t="s">
        <v>16</v>
      </c>
      <c r="C7" s="18" t="s">
        <v>17</v>
      </c>
      <c r="D7" s="19" t="s">
        <v>10</v>
      </c>
      <c r="E7" s="60">
        <f>'Planejado 2023-2'!I7</f>
        <v>2239522</v>
      </c>
      <c r="F7" s="46">
        <f>'Planejado 2023-2'!J7</f>
        <v>174</v>
      </c>
      <c r="G7" s="60">
        <v>914967.22000000009</v>
      </c>
      <c r="H7" s="46">
        <v>175</v>
      </c>
      <c r="I7" s="32">
        <v>100</v>
      </c>
      <c r="J7" s="32">
        <f>IF(IFERROR((H7/F7)*100,0)&gt;100,100,IFERROR((H7/F7)*100,0))</f>
        <v>100</v>
      </c>
      <c r="K7" s="32">
        <f>IF(IFERROR(((H7/$G$7)/(F7/$E$7))*100,0)&gt;100,100,IFERROR(((H7/$G$7)/(F7/$E$7))*100,0))</f>
        <v>100</v>
      </c>
      <c r="L7" s="32">
        <f>IF(IFERROR(((($E$7/F7)-($G$7/H7))/($G$7/H7))+1*100,0)&gt;100,100,IFERROR(((($E$7/F7)-($G$7/H7))/($G$7/H7))+1*100,0))</f>
        <v>100</v>
      </c>
      <c r="M7" s="33">
        <f t="shared" ref="M7:M10" si="2">((I7*0.2+J7*0.35+K7*0.3+L7*0.15))</f>
        <v>100</v>
      </c>
    </row>
    <row r="8" spans="1:22" ht="21" customHeight="1" x14ac:dyDescent="0.25">
      <c r="A8" s="72"/>
      <c r="B8" s="73"/>
      <c r="C8" s="18" t="s">
        <v>18</v>
      </c>
      <c r="D8" s="19" t="s">
        <v>14</v>
      </c>
      <c r="E8" s="60"/>
      <c r="F8" s="46">
        <f>'Planejado 2023-2'!J8</f>
        <v>2900</v>
      </c>
      <c r="G8" s="60"/>
      <c r="H8" s="46">
        <v>2059</v>
      </c>
      <c r="I8" s="32">
        <v>98.86</v>
      </c>
      <c r="J8" s="32">
        <f>IF(IFERROR((H8/F8)*100,0)&gt;100,100,IFERROR((H8/F8)*100,0))</f>
        <v>71</v>
      </c>
      <c r="K8" s="32">
        <f>IF(IFERROR(((H8/$G$7)/(F8/$E$7))*100,0)&gt;100,100,IFERROR(((H8/$G$7)/(F8/$E$7))*100,0))</f>
        <v>100</v>
      </c>
      <c r="L8" s="32">
        <f>IF(IFERROR(((($E$7/F8)-($G$7/H8))/($G$7/H8))+1*100,0)&gt;100,100,IFERROR(((($E$7/F8)-($G$7/H8))/($G$7/H8))+1*100,0))</f>
        <v>100</v>
      </c>
      <c r="M8" s="33">
        <f t="shared" ref="M8" si="3">((I8*0.2+J8*0.35+K8*0.3+L8*0.15))</f>
        <v>89.622</v>
      </c>
    </row>
    <row r="9" spans="1:22" ht="21" customHeight="1" x14ac:dyDescent="0.25">
      <c r="A9" s="21" t="s">
        <v>19</v>
      </c>
      <c r="B9" s="19" t="s">
        <v>20</v>
      </c>
      <c r="C9" s="18" t="s">
        <v>21</v>
      </c>
      <c r="D9" s="19" t="s">
        <v>14</v>
      </c>
      <c r="E9" s="10">
        <f>'Planejado 2023-2'!$I$9</f>
        <v>2171543</v>
      </c>
      <c r="F9" s="46">
        <f>'Planejado 2023-2'!J9</f>
        <v>1560</v>
      </c>
      <c r="G9" s="10">
        <v>684638.25</v>
      </c>
      <c r="H9" s="46">
        <v>1656</v>
      </c>
      <c r="I9" s="32">
        <v>86.52</v>
      </c>
      <c r="J9" s="32">
        <f t="shared" si="1"/>
        <v>100</v>
      </c>
      <c r="K9" s="32">
        <f>IF(IFERROR(((H9/G9)/(F9/E9))*100,0)&gt;100,100,IFERROR(((H9/G9)/(F9/E9))*100,0))</f>
        <v>100</v>
      </c>
      <c r="L9" s="32">
        <f>IF(IFERROR((((E9/F9)-(G9/H9))/(G9/H9))+1*100,0)&gt;100,100,IFERROR((((E9/F9)-(G9/H9))/(G9/H9))+1*100,0))</f>
        <v>100</v>
      </c>
      <c r="M9" s="33">
        <f t="shared" si="2"/>
        <v>97.304000000000002</v>
      </c>
    </row>
    <row r="10" spans="1:22" ht="21" customHeight="1" x14ac:dyDescent="0.25">
      <c r="A10" s="21" t="s">
        <v>22</v>
      </c>
      <c r="B10" s="19" t="s">
        <v>23</v>
      </c>
      <c r="C10" s="18" t="s">
        <v>24</v>
      </c>
      <c r="D10" s="19" t="s">
        <v>14</v>
      </c>
      <c r="E10" s="10">
        <f>'Planejado 2023-2'!$I$10</f>
        <v>1478369</v>
      </c>
      <c r="F10" s="46">
        <f>'Planejado 2023-2'!J10</f>
        <v>1620</v>
      </c>
      <c r="G10" s="10">
        <v>633541.52</v>
      </c>
      <c r="H10" s="46">
        <v>1664</v>
      </c>
      <c r="I10" s="32">
        <v>94.74</v>
      </c>
      <c r="J10" s="32">
        <f t="shared" si="1"/>
        <v>100</v>
      </c>
      <c r="K10" s="32">
        <f>IF(IFERROR(((H10/G10)/(F10/E10))*100,0)&gt;100,100,IFERROR(((H10/G10)/(F10/E10))*100,0))</f>
        <v>100</v>
      </c>
      <c r="L10" s="32">
        <f>IF(IFERROR((((E10/F10)-(G10/H10))/(G10/H10))+1*100,0)&gt;100,100,IFERROR((((E10/F10)-(G10/H10))/(G10/H10))+1*100,0))</f>
        <v>100</v>
      </c>
      <c r="M10" s="33">
        <f t="shared" si="2"/>
        <v>98.948000000000008</v>
      </c>
    </row>
    <row r="11" spans="1:22" ht="21" customHeight="1" x14ac:dyDescent="0.25">
      <c r="A11" s="70" t="s">
        <v>99</v>
      </c>
      <c r="B11" s="71"/>
      <c r="C11" s="71"/>
      <c r="D11" s="71"/>
      <c r="E11" s="71"/>
      <c r="F11" s="71"/>
      <c r="G11" s="71"/>
      <c r="H11" s="71"/>
      <c r="I11" s="37">
        <f>IFERROR(AVERAGE(I3:I10),0)</f>
        <v>93.607500000000002</v>
      </c>
      <c r="J11" s="37">
        <f t="shared" ref="J11:M11" si="4">IFERROR(AVERAGE(J3:J10),0)</f>
        <v>96.208333333333343</v>
      </c>
      <c r="K11" s="37">
        <f t="shared" si="4"/>
        <v>100</v>
      </c>
      <c r="L11" s="37">
        <f t="shared" si="4"/>
        <v>100</v>
      </c>
      <c r="M11" s="37">
        <f t="shared" si="4"/>
        <v>97.394416666666658</v>
      </c>
    </row>
    <row r="12" spans="1:22" ht="33" customHeight="1" x14ac:dyDescent="0.25">
      <c r="A12" s="18" t="s">
        <v>25</v>
      </c>
      <c r="B12" s="22" t="s">
        <v>26</v>
      </c>
      <c r="C12" s="18" t="s">
        <v>27</v>
      </c>
      <c r="D12" s="22" t="s">
        <v>28</v>
      </c>
      <c r="E12" s="10">
        <f>'Planejado 2023-2'!I12</f>
        <v>3166333</v>
      </c>
      <c r="F12" s="46">
        <f>'Planejado 2023-2'!J12</f>
        <v>2300</v>
      </c>
      <c r="G12" s="10">
        <v>1779009.7200000002</v>
      </c>
      <c r="H12" s="46">
        <v>4263</v>
      </c>
      <c r="I12" s="32">
        <v>96.69</v>
      </c>
      <c r="J12" s="32">
        <f>IF(IFERROR((H12/F12)*100,0)&gt;100,100,IFERROR((H12/F12)*100,0))</f>
        <v>100</v>
      </c>
      <c r="K12" s="32">
        <f>IF(IFERROR(((H12/G12)/(F12/E12))*100,0)&gt;100,100,IFERROR(((H12/G12)/(F12/E12))*100,0))</f>
        <v>100</v>
      </c>
      <c r="L12" s="32">
        <f>IF(IFERROR((((E12/F12)-(G12/H12))/(G12/H12))+1*100,0)&gt;100,100,IFERROR((((E12/F12)-(G12/H12))/(G12/H12))+1*100,0))</f>
        <v>100</v>
      </c>
      <c r="M12" s="33">
        <f t="shared" ref="M12" si="5">((I12*0.2+J12*0.35+K12*0.3+L12*0.15))</f>
        <v>99.337999999999994</v>
      </c>
    </row>
    <row r="13" spans="1:22" ht="33" customHeight="1" x14ac:dyDescent="0.25">
      <c r="A13" s="18" t="s">
        <v>29</v>
      </c>
      <c r="B13" s="22" t="s">
        <v>30</v>
      </c>
      <c r="C13" s="18" t="s">
        <v>31</v>
      </c>
      <c r="D13" s="19" t="s">
        <v>32</v>
      </c>
      <c r="E13" s="10">
        <f>'Planejado 2023-2'!I13</f>
        <v>835927</v>
      </c>
      <c r="F13" s="46">
        <f>'Planejado 2023-2'!J13</f>
        <v>900</v>
      </c>
      <c r="G13" s="10">
        <v>793257.63</v>
      </c>
      <c r="H13" s="46">
        <v>1139</v>
      </c>
      <c r="I13" s="32">
        <v>98.61</v>
      </c>
      <c r="J13" s="32">
        <f t="shared" ref="J13:J14" si="6">IF(IFERROR((H13/F13)*100,0)&gt;100,100,IFERROR((H13/F13)*100,0))</f>
        <v>100</v>
      </c>
      <c r="K13" s="32">
        <f>IF(IFERROR(((H13/G13)/(F13/E13))*100,0)&gt;100,100,IFERROR(((H13/G13)/(F13/E13))*100,0))</f>
        <v>100</v>
      </c>
      <c r="L13" s="32">
        <f>IF(IFERROR((((E13/F13)-(G13/H13))/(G13/H13))+1*100,0)&gt;100,100,IFERROR((((E13/F13)-(G13/H13))/(G13/H13))+1*100,0))</f>
        <v>100</v>
      </c>
      <c r="M13" s="33">
        <f t="shared" ref="M13:M14" si="7">((I13*0.2+J13*0.35+K13*0.3+L13*0.15))</f>
        <v>99.722000000000008</v>
      </c>
    </row>
    <row r="14" spans="1:22" ht="33" customHeight="1" x14ac:dyDescent="0.25">
      <c r="A14" s="18" t="s">
        <v>33</v>
      </c>
      <c r="B14" s="22" t="s">
        <v>34</v>
      </c>
      <c r="C14" s="18" t="s">
        <v>35</v>
      </c>
      <c r="D14" s="19" t="s">
        <v>36</v>
      </c>
      <c r="E14" s="10">
        <f>'Planejado 2023-2'!I14</f>
        <v>61786382</v>
      </c>
      <c r="F14" s="46">
        <f>'Planejado 2023-2'!J14</f>
        <v>84000</v>
      </c>
      <c r="G14" s="10">
        <v>67602366.99000001</v>
      </c>
      <c r="H14" s="46">
        <v>88042</v>
      </c>
      <c r="I14" s="32">
        <v>95.32</v>
      </c>
      <c r="J14" s="32">
        <f t="shared" si="6"/>
        <v>100</v>
      </c>
      <c r="K14" s="32">
        <f>IF(IFERROR(((H14/G14)/(F14/E14))*100,0)&gt;100,100,IFERROR(((H14/G14)/(F14/E14))*100,0))</f>
        <v>95.794698826516125</v>
      </c>
      <c r="L14" s="32">
        <f>IF(IFERROR((((E14/F14)-(G14/H14))/(G14/H14))+1*100,0)&gt;100,100,IFERROR((((E14/F14)-(G14/H14))/(G14/H14))+1*100,0))</f>
        <v>99.957946988265164</v>
      </c>
      <c r="M14" s="33">
        <f t="shared" si="7"/>
        <v>97.796101696194611</v>
      </c>
    </row>
    <row r="15" spans="1:22" ht="33" customHeight="1" x14ac:dyDescent="0.25">
      <c r="A15" s="18" t="s">
        <v>37</v>
      </c>
      <c r="B15" s="22" t="s">
        <v>38</v>
      </c>
      <c r="C15" s="18" t="s">
        <v>39</v>
      </c>
      <c r="D15" s="19" t="s">
        <v>40</v>
      </c>
      <c r="E15" s="10">
        <f>'Planejado 2023-2'!I15</f>
        <v>739709</v>
      </c>
      <c r="F15" s="46">
        <f>'Planejado 2023-2'!J15</f>
        <v>5000</v>
      </c>
      <c r="G15" s="10">
        <v>237915.94</v>
      </c>
      <c r="H15" s="46">
        <v>5762</v>
      </c>
      <c r="I15" s="32">
        <v>99.22</v>
      </c>
      <c r="J15" s="32">
        <f>IF(IFERROR((H15/F15)*100,0)&gt;100,100,IFERROR((H15/F15)*100,0))</f>
        <v>100</v>
      </c>
      <c r="K15" s="32">
        <f>IF(IFERROR(((H15/G15)/(F15/E15))*100,0)&gt;100,100,IFERROR(((H15/G15)/(F15/E15))*100,0))</f>
        <v>100</v>
      </c>
      <c r="L15" s="32">
        <f>IF(IFERROR((((E15/F15)-(G15/H15))/(G15/H15))+1*100,0)&gt;100,100,IFERROR((((E15/F15)-(G15/H15))/(G15/H15))+1*100,0))</f>
        <v>100</v>
      </c>
      <c r="M15" s="33">
        <f>((I15*0.2+J15*0.35+K15*0.3+L15*0.15))</f>
        <v>99.843999999999994</v>
      </c>
    </row>
    <row r="16" spans="1:22" ht="21" customHeight="1" x14ac:dyDescent="0.25">
      <c r="A16" s="70" t="s">
        <v>98</v>
      </c>
      <c r="B16" s="71"/>
      <c r="C16" s="71"/>
      <c r="D16" s="71"/>
      <c r="E16" s="71"/>
      <c r="F16" s="71"/>
      <c r="G16" s="71"/>
      <c r="H16" s="71"/>
      <c r="I16" s="37">
        <f>IFERROR(AVERAGE(I12:I15),0)</f>
        <v>97.460000000000008</v>
      </c>
      <c r="J16" s="37">
        <f t="shared" ref="J16:M16" si="8">IFERROR(AVERAGE(J12:J15),0)</f>
        <v>100</v>
      </c>
      <c r="K16" s="37">
        <f>IFERROR(AVERAGE(K12:K15),0)</f>
        <v>98.948674706629035</v>
      </c>
      <c r="L16" s="37">
        <f t="shared" si="8"/>
        <v>99.989486747066294</v>
      </c>
      <c r="M16" s="37">
        <f t="shared" si="8"/>
        <v>99.175025424048656</v>
      </c>
    </row>
    <row r="17" spans="1:13" ht="33" customHeight="1" x14ac:dyDescent="0.25">
      <c r="A17" s="18" t="s">
        <v>41</v>
      </c>
      <c r="B17" s="23" t="s">
        <v>42</v>
      </c>
      <c r="C17" s="18" t="s">
        <v>43</v>
      </c>
      <c r="D17" s="19" t="s">
        <v>44</v>
      </c>
      <c r="E17" s="10">
        <f>'Planejado 2023-2'!I17</f>
        <v>1261655</v>
      </c>
      <c r="F17" s="46">
        <f>'Planejado 2023-2'!J17</f>
        <v>72</v>
      </c>
      <c r="G17" s="10">
        <v>1479415.9</v>
      </c>
      <c r="H17" s="46">
        <v>83</v>
      </c>
      <c r="I17" s="32">
        <v>100</v>
      </c>
      <c r="J17" s="32">
        <f>IF(IFERROR((H17/F17)*100,0)&gt;100,100,IFERROR((H17/F17)*100,0))</f>
        <v>100</v>
      </c>
      <c r="K17" s="32">
        <f>IF(IFERROR(((H17/G17)/(F17/E17))*100,0)&gt;100,100,IFERROR(((H17/G17)/(F17/E17))*100,0))</f>
        <v>98.309599567114446</v>
      </c>
      <c r="L17" s="32">
        <f>IF(IFERROR((((E17/F17)-(G17/H17))/(G17/H17))+1*100,0)&gt;100,100,IFERROR((((E17/F17)-(G17/H17))/(G17/H17))+1*100,0))</f>
        <v>99.98309599567115</v>
      </c>
      <c r="M17" s="33">
        <f t="shared" ref="M17:M22" si="9">((I17*0.2+J17*0.35+K17*0.3+L17*0.15))</f>
        <v>99.490344269485007</v>
      </c>
    </row>
    <row r="18" spans="1:13" ht="33" customHeight="1" x14ac:dyDescent="0.25">
      <c r="A18" s="72" t="s">
        <v>45</v>
      </c>
      <c r="B18" s="69" t="s">
        <v>46</v>
      </c>
      <c r="C18" s="18" t="s">
        <v>47</v>
      </c>
      <c r="D18" s="19" t="s">
        <v>48</v>
      </c>
      <c r="E18" s="67">
        <f>'Planejado 2023-2'!I18</f>
        <v>19961849</v>
      </c>
      <c r="F18" s="46">
        <f>'Planejado 2023-2'!J18</f>
        <v>81425</v>
      </c>
      <c r="G18" s="67">
        <v>16965241.759999998</v>
      </c>
      <c r="H18" s="46">
        <v>81549</v>
      </c>
      <c r="I18" s="32">
        <v>97.12</v>
      </c>
      <c r="J18" s="32">
        <f t="shared" ref="J18:J22" si="10">IF(IFERROR((H18/F18)*100,0)&gt;100,100,IFERROR((H18/F18)*100,0))</f>
        <v>100</v>
      </c>
      <c r="K18" s="32">
        <f>IF(IFERROR(((H18/$G$18)/(F18/$E$18))*100,0)&gt;100,100,IFERROR(((H18/$G$18)/(F18/$E$18))*100,0))</f>
        <v>100</v>
      </c>
      <c r="L18" s="32">
        <f>IF(IFERROR(((($E$18/F18)-($G$18/H18))/($G$18/H18))+1*100,0)&gt;100,100,IFERROR(((($E$18/F18)-($G$18/H18))/($G$18/H18))+1*100,0))</f>
        <v>100</v>
      </c>
      <c r="M18" s="33">
        <f t="shared" si="9"/>
        <v>99.424000000000007</v>
      </c>
    </row>
    <row r="19" spans="1:13" ht="21" customHeight="1" x14ac:dyDescent="0.25">
      <c r="A19" s="72"/>
      <c r="B19" s="69"/>
      <c r="C19" s="18" t="s">
        <v>49</v>
      </c>
      <c r="D19" s="19" t="s">
        <v>50</v>
      </c>
      <c r="E19" s="68"/>
      <c r="F19" s="46">
        <f>'Planejado 2023-2'!J19</f>
        <v>360</v>
      </c>
      <c r="G19" s="68"/>
      <c r="H19" s="46">
        <v>753</v>
      </c>
      <c r="I19" s="32">
        <v>100</v>
      </c>
      <c r="J19" s="32">
        <f t="shared" si="10"/>
        <v>100</v>
      </c>
      <c r="K19" s="32">
        <f>IF(IFERROR(((H19/$G$18)/(F19/$E$18))*100,0)&gt;100,100,IFERROR(((H19/$G$18)/(F19/$E$18))*100,0))</f>
        <v>100</v>
      </c>
      <c r="L19" s="32">
        <f>IF(IFERROR(((($E$18/F19)-($G$18/H19))/($G$18/H19))+1*100,0)&gt;100,100,IFERROR(((($E$18/F19)-($G$18/H19))/($G$18/H19))+1*100,0))</f>
        <v>100</v>
      </c>
      <c r="M19" s="33">
        <f t="shared" si="9"/>
        <v>100</v>
      </c>
    </row>
    <row r="20" spans="1:13" ht="21" customHeight="1" x14ac:dyDescent="0.25">
      <c r="A20" s="18" t="s">
        <v>51</v>
      </c>
      <c r="B20" s="22" t="s">
        <v>52</v>
      </c>
      <c r="C20" s="18" t="s">
        <v>53</v>
      </c>
      <c r="D20" s="19" t="s">
        <v>54</v>
      </c>
      <c r="E20" s="10">
        <f>'Planejado 2023-2'!I20</f>
        <v>1864509</v>
      </c>
      <c r="F20" s="46">
        <f>'Planejado 2023-2'!J20</f>
        <v>2070</v>
      </c>
      <c r="G20" s="10">
        <v>2134210.5299999998</v>
      </c>
      <c r="H20" s="46">
        <v>2422</v>
      </c>
      <c r="I20" s="32">
        <v>99.36</v>
      </c>
      <c r="J20" s="32">
        <f t="shared" si="10"/>
        <v>100</v>
      </c>
      <c r="K20" s="32">
        <f>IF(IFERROR(((H20/G20)/(F20/E20))*100,0)&gt;100,100,IFERROR(((H20/G20)/(F20/E20))*100,0))</f>
        <v>100</v>
      </c>
      <c r="L20" s="32">
        <f>IF(IFERROR((((E20/F20)-(G20/H20))/(G20/H20))+1*100,0)&gt;100,100,IFERROR((((E20/F20)-(G20/H20))/(G20/H20))+1*100,0))</f>
        <v>100</v>
      </c>
      <c r="M20" s="33">
        <f t="shared" si="9"/>
        <v>99.872</v>
      </c>
    </row>
    <row r="21" spans="1:13" ht="21" customHeight="1" x14ac:dyDescent="0.25">
      <c r="A21" s="18" t="s">
        <v>55</v>
      </c>
      <c r="B21" s="22" t="s">
        <v>56</v>
      </c>
      <c r="C21" s="18" t="s">
        <v>57</v>
      </c>
      <c r="D21" s="19" t="s">
        <v>58</v>
      </c>
      <c r="E21" s="10">
        <f>'Planejado 2023-2'!I21</f>
        <v>18701994</v>
      </c>
      <c r="F21" s="46">
        <f>'Planejado 2023-2'!J21</f>
        <v>1930476</v>
      </c>
      <c r="G21" s="10">
        <v>16618888.170000002</v>
      </c>
      <c r="H21" s="46">
        <v>1851841</v>
      </c>
      <c r="I21" s="32">
        <v>89.21</v>
      </c>
      <c r="J21" s="32">
        <f t="shared" si="10"/>
        <v>95.926652286793512</v>
      </c>
      <c r="K21" s="32">
        <f>IF(IFERROR(((H21/G21)/(F21/E21))*100,0)&gt;100,100,IFERROR(((H21/G21)/(F21/E21))*100,0))</f>
        <v>100</v>
      </c>
      <c r="L21" s="32">
        <f>IF(IFERROR((((E21/F21)-(G21/H21))/(G21/H21))+1*100,0)&gt;100,100,IFERROR((((E21/F21)-(G21/H21))/(G21/H21))+1*100,0))</f>
        <v>100</v>
      </c>
      <c r="M21" s="33">
        <f t="shared" si="9"/>
        <v>96.416328300377728</v>
      </c>
    </row>
    <row r="22" spans="1:13" ht="33" customHeight="1" x14ac:dyDescent="0.25">
      <c r="A22" s="18" t="s">
        <v>59</v>
      </c>
      <c r="B22" s="23" t="s">
        <v>60</v>
      </c>
      <c r="C22" s="18" t="s">
        <v>61</v>
      </c>
      <c r="D22" s="19" t="s">
        <v>62</v>
      </c>
      <c r="E22" s="10">
        <f>'Planejado 2023-2'!I22</f>
        <v>1720061</v>
      </c>
      <c r="F22" s="46">
        <f>'Planejado 2023-2'!J22</f>
        <v>250000</v>
      </c>
      <c r="G22" s="10">
        <v>1421346.31</v>
      </c>
      <c r="H22" s="46">
        <v>263733</v>
      </c>
      <c r="I22" s="32">
        <v>91.39</v>
      </c>
      <c r="J22" s="32">
        <f t="shared" si="10"/>
        <v>100</v>
      </c>
      <c r="K22" s="32">
        <f>IF(IFERROR(((H22/G22)/(F22/E22))*100,0)&gt;100,100,IFERROR(((H22/G22)/(F22/E22))*100,0))</f>
        <v>100</v>
      </c>
      <c r="L22" s="32">
        <f>IF(IFERROR((((E22/F22)-(G22/H22))/(G22/H22))+1*100,0)&gt;100,100,IFERROR((((E22/F22)-(G22/H22))/(G22/H22))+1*100,0))</f>
        <v>100</v>
      </c>
      <c r="M22" s="33">
        <f t="shared" si="9"/>
        <v>98.278000000000006</v>
      </c>
    </row>
    <row r="23" spans="1:13" ht="21" customHeight="1" x14ac:dyDescent="0.25">
      <c r="A23" s="70" t="s">
        <v>97</v>
      </c>
      <c r="B23" s="71"/>
      <c r="C23" s="71"/>
      <c r="D23" s="71"/>
      <c r="E23" s="71"/>
      <c r="F23" s="71"/>
      <c r="G23" s="71"/>
      <c r="H23" s="71"/>
      <c r="I23" s="37">
        <f>IFERROR(AVERAGE(I17:I22),0)</f>
        <v>96.18</v>
      </c>
      <c r="J23" s="37">
        <f t="shared" ref="J23:M23" si="11">IFERROR(AVERAGE(J17:J22),0)</f>
        <v>99.321108714465595</v>
      </c>
      <c r="K23" s="37">
        <f t="shared" si="11"/>
        <v>99.718266594519079</v>
      </c>
      <c r="L23" s="37">
        <f t="shared" si="11"/>
        <v>99.997182665945203</v>
      </c>
      <c r="M23" s="37">
        <f t="shared" si="11"/>
        <v>98.913445428310467</v>
      </c>
    </row>
    <row r="24" spans="1:13" ht="21" customHeight="1" x14ac:dyDescent="0.25">
      <c r="A24" s="72" t="s">
        <v>63</v>
      </c>
      <c r="B24" s="69" t="s">
        <v>64</v>
      </c>
      <c r="C24" s="24" t="s">
        <v>65</v>
      </c>
      <c r="D24" s="22" t="s">
        <v>66</v>
      </c>
      <c r="E24" s="60">
        <f>'Planejado 2023-2'!I24</f>
        <v>450189.4</v>
      </c>
      <c r="F24" s="46">
        <f>'Planejado 2023-2'!J24</f>
        <v>810</v>
      </c>
      <c r="G24" s="60">
        <v>360512.75</v>
      </c>
      <c r="H24" s="46">
        <v>1861</v>
      </c>
      <c r="I24" s="32">
        <v>98.83</v>
      </c>
      <c r="J24" s="32">
        <f>IF(IFERROR((H24/F24)*100,0)&gt;100,100,IFERROR((H24/F24)*100,0))</f>
        <v>100</v>
      </c>
      <c r="K24" s="32">
        <f>IF(IFERROR(((H24/$G$24)/(F24/$E$24))*100,0)&gt;100,100,IFERROR(((H24/$G$24)/(F24/$E$24))*100,0))</f>
        <v>100</v>
      </c>
      <c r="L24" s="32">
        <f>IF(IFERROR(((($E$24/F24)-($G$24/H24))/($G$24/H24))+1*100,0)&gt;100,100,IFERROR(((($E$24/F24)-($G$24/H24))/($G$24/H24))+1*100,0))</f>
        <v>100</v>
      </c>
      <c r="M24" s="33">
        <f>((I24*0.2+J24*0.35+K24*0.3+L24*0.15))</f>
        <v>99.766000000000005</v>
      </c>
    </row>
    <row r="25" spans="1:13" ht="21" customHeight="1" x14ac:dyDescent="0.25">
      <c r="A25" s="72"/>
      <c r="B25" s="69"/>
      <c r="C25" s="24" t="s">
        <v>67</v>
      </c>
      <c r="D25" s="22" t="s">
        <v>68</v>
      </c>
      <c r="E25" s="60"/>
      <c r="F25" s="46">
        <f>'Planejado 2023-2'!J25</f>
        <v>36</v>
      </c>
      <c r="G25" s="60"/>
      <c r="H25" s="46">
        <v>41</v>
      </c>
      <c r="I25" s="32">
        <v>97.96</v>
      </c>
      <c r="J25" s="32">
        <f>IF(IFERROR((H25/F25)*100,0)&gt;100,100,IFERROR((H25/F25)*100,0))</f>
        <v>100</v>
      </c>
      <c r="K25" s="32">
        <f>IF(IFERROR(((H25/$G$24)/(F25/$E$24))*100,0)&gt;100,100,IFERROR(((H25/$G$24)/(F25/$E$24))*100,0))</f>
        <v>100</v>
      </c>
      <c r="L25" s="32">
        <f>IF(IFERROR(((($E$24/F25)-($G$24/H25))/($G$24/H25))+1*100,0)&gt;100,100,IFERROR(((($E$24/F25)-($G$24/H25))/($G$24/H25))+1*100,0))</f>
        <v>100</v>
      </c>
      <c r="M25" s="33">
        <f t="shared" ref="M25:M26" si="12">((I25*0.2+J25*0.35+K25*0.3+L25*0.15))</f>
        <v>99.591999999999999</v>
      </c>
    </row>
    <row r="26" spans="1:13" ht="21" customHeight="1" x14ac:dyDescent="0.25">
      <c r="A26" s="72"/>
      <c r="B26" s="69"/>
      <c r="C26" s="24" t="s">
        <v>69</v>
      </c>
      <c r="D26" s="22" t="s">
        <v>70</v>
      </c>
      <c r="E26" s="60"/>
      <c r="F26" s="46">
        <f>'Planejado 2023-2'!J26</f>
        <v>270</v>
      </c>
      <c r="G26" s="60"/>
      <c r="H26" s="46">
        <v>486</v>
      </c>
      <c r="I26" s="32">
        <v>98.56</v>
      </c>
      <c r="J26" s="32">
        <f t="shared" ref="J26" si="13">IF(IFERROR((H26/F26)*100,0)&gt;100,100,IFERROR((H26/F26)*100,0))</f>
        <v>100</v>
      </c>
      <c r="K26" s="32">
        <f>IF(IFERROR(((H26/$G$24)/(F26/$E$24))*100,0)&gt;100,100,IFERROR(((H26/$G$24)/(F26/$E$24))*100,0))</f>
        <v>100</v>
      </c>
      <c r="L26" s="32">
        <f>IF(IFERROR(((($E$24/F26)-($G$24/H26))/($G$24/H26))+1*100,0)&gt;100,100,IFERROR(((($E$24/F26)-($G$24/H26))/($G$24/H26))+1*100,0))</f>
        <v>100</v>
      </c>
      <c r="M26" s="33">
        <f t="shared" si="12"/>
        <v>99.712000000000003</v>
      </c>
    </row>
    <row r="27" spans="1:13" ht="21" customHeight="1" x14ac:dyDescent="0.25">
      <c r="A27" s="18" t="s">
        <v>71</v>
      </c>
      <c r="B27" s="25" t="s">
        <v>72</v>
      </c>
      <c r="C27" s="24" t="s">
        <v>73</v>
      </c>
      <c r="D27" s="22" t="s">
        <v>74</v>
      </c>
      <c r="E27" s="10">
        <f>'Planejado 2023-2'!I27</f>
        <v>1495782</v>
      </c>
      <c r="F27" s="46">
        <f>'Planejado 2023-2'!J27</f>
        <v>780</v>
      </c>
      <c r="G27" s="10">
        <v>1312342.5400000003</v>
      </c>
      <c r="H27" s="46">
        <v>969</v>
      </c>
      <c r="I27" s="32">
        <v>96.6</v>
      </c>
      <c r="J27" s="32">
        <f>IF(IFERROR((H27/F27)*100,0)&gt;100,100,IFERROR((H27/F27)*100,0))</f>
        <v>100</v>
      </c>
      <c r="K27" s="32">
        <f>IF(IFERROR(((H27/G27)/(F27/E27))*100,0)&gt;100,100,IFERROR(((H27/G27)/(F27/E27))*100,0))</f>
        <v>100</v>
      </c>
      <c r="L27" s="32">
        <f>IF(IFERROR((((E27/F27)-(G27/H27))/(G27/H27))+1*100,0)&gt;100,100,IFERROR((((E27/F27)-(G27/H27))/(G27/H27))+1*100,0))</f>
        <v>100</v>
      </c>
      <c r="M27" s="33">
        <f>((I27*0.2+J27*0.35+K27*0.3+L27*0.15))</f>
        <v>99.32</v>
      </c>
    </row>
    <row r="28" spans="1:13" ht="21" customHeight="1" x14ac:dyDescent="0.25">
      <c r="A28" s="72" t="s">
        <v>75</v>
      </c>
      <c r="B28" s="69" t="s">
        <v>76</v>
      </c>
      <c r="C28" s="24" t="s">
        <v>77</v>
      </c>
      <c r="D28" s="19" t="s">
        <v>78</v>
      </c>
      <c r="E28" s="67">
        <f>'Planejado 2023-2'!I28</f>
        <v>245516</v>
      </c>
      <c r="F28" s="46">
        <f>'Planejado 2023-2'!J28</f>
        <v>0</v>
      </c>
      <c r="G28" s="67">
        <v>123141.05</v>
      </c>
      <c r="H28" s="46">
        <v>0</v>
      </c>
      <c r="I28" s="32"/>
      <c r="J28" s="32"/>
      <c r="K28" s="32"/>
      <c r="L28" s="32"/>
      <c r="M28" s="33"/>
    </row>
    <row r="29" spans="1:13" ht="21" customHeight="1" x14ac:dyDescent="0.25">
      <c r="A29" s="72"/>
      <c r="B29" s="69"/>
      <c r="C29" s="24" t="s">
        <v>79</v>
      </c>
      <c r="D29" s="19" t="s">
        <v>80</v>
      </c>
      <c r="E29" s="68"/>
      <c r="F29" s="46">
        <f>'Planejado 2023-2'!J29</f>
        <v>30000</v>
      </c>
      <c r="G29" s="68"/>
      <c r="H29" s="46">
        <v>30000</v>
      </c>
      <c r="I29" s="32">
        <v>98.4</v>
      </c>
      <c r="J29" s="32">
        <f>IF(IFERROR((H29/F29)*100,0)&gt;100,100,IFERROR((H29/F29)*100,0))</f>
        <v>100</v>
      </c>
      <c r="K29" s="32">
        <f>IF(IFERROR(((H29/$G$28)/(F29/$E$28))*100,0)&gt;100,100,IFERROR(((H29/$G$28)/(F29/$E$28))*100,0))</f>
        <v>100</v>
      </c>
      <c r="L29" s="32">
        <f>IF(IFERROR(((($E$28/F29)-($G$28/H29))/($G$28/H29))+1*100,0)&gt;100,100,IFERROR(((($E$28/F29)-($G$28/H29))/($G$28/H29))+1*100,0))</f>
        <v>100</v>
      </c>
      <c r="M29" s="33">
        <f>((I29*0.2+J29*0.35+K29*0.3+L29*0.15))</f>
        <v>99.68</v>
      </c>
    </row>
    <row r="30" spans="1:13" ht="21" customHeight="1" x14ac:dyDescent="0.25">
      <c r="A30" s="72" t="s">
        <v>81</v>
      </c>
      <c r="B30" s="69" t="s">
        <v>147</v>
      </c>
      <c r="C30" s="24" t="s">
        <v>82</v>
      </c>
      <c r="D30" s="20" t="s">
        <v>83</v>
      </c>
      <c r="E30" s="67">
        <f>'Planejado 2023-2'!I30</f>
        <v>33677338</v>
      </c>
      <c r="F30" s="46">
        <f>'Planejado 2023-2'!J30</f>
        <v>500000</v>
      </c>
      <c r="G30" s="67">
        <v>32633661.539999999</v>
      </c>
      <c r="H30" s="46">
        <v>511502</v>
      </c>
      <c r="I30" s="32">
        <v>95.4</v>
      </c>
      <c r="J30" s="32">
        <f>IF(IFERROR((H30/F30)*100,0)&gt;100,100,IFERROR((H30/F30)*100,0))</f>
        <v>100</v>
      </c>
      <c r="K30" s="32">
        <f>IF(IFERROR(((H30/$G$30)/(F30/$E$30))*100,0)&gt;100,100,IFERROR(((H30/$G$30)/(F30/$E$30))*100,0))</f>
        <v>100</v>
      </c>
      <c r="L30" s="32">
        <f>IF(IFERROR(((($E$30/F30)-($G$30/H30))/($G$30/H30))+1*100,0)&gt;100,100,IFERROR(((($E$30/F30)-($G$30/H30))/($G$30/H30))+1*100,0))</f>
        <v>100</v>
      </c>
      <c r="M30" s="33">
        <f>((I30*0.2+J30*0.35+K30*0.3+L30*0.15))</f>
        <v>99.08</v>
      </c>
    </row>
    <row r="31" spans="1:13" ht="21" customHeight="1" x14ac:dyDescent="0.25">
      <c r="A31" s="72"/>
      <c r="B31" s="69"/>
      <c r="C31" s="24" t="s">
        <v>84</v>
      </c>
      <c r="D31" s="19" t="s">
        <v>85</v>
      </c>
      <c r="E31" s="68"/>
      <c r="F31" s="46">
        <f>'Planejado 2023-2'!J31</f>
        <v>700000</v>
      </c>
      <c r="G31" s="68"/>
      <c r="H31" s="46">
        <v>1012400</v>
      </c>
      <c r="I31" s="32">
        <v>92.6</v>
      </c>
      <c r="J31" s="32">
        <f>IF(IFERROR((H31/F31)*100,0)&gt;100,100,IFERROR((H31/F31)*100,0))</f>
        <v>100</v>
      </c>
      <c r="K31" s="32">
        <f>IF(IFERROR(((H31/$G$30)/(F31/$E$30))*100,0)&gt;100,100,IFERROR(((H31/$G$30)/(F31/$E$30))*100,0))</f>
        <v>100</v>
      </c>
      <c r="L31" s="32">
        <f>IF(IFERROR(((($E$30/F31)-($G$30/H31))/($G$30/H31))+1*100,0)&gt;100,100,IFERROR(((($E$30/F31)-($G$30/H31))/($G$30/H31))+1*100,0))</f>
        <v>100</v>
      </c>
      <c r="M31" s="33">
        <f>((I31*0.2+J31*0.35+K31*0.3+L31*0.15))</f>
        <v>98.52</v>
      </c>
    </row>
    <row r="32" spans="1:13" ht="21" customHeight="1" x14ac:dyDescent="0.25">
      <c r="A32" s="70" t="s">
        <v>96</v>
      </c>
      <c r="B32" s="71"/>
      <c r="C32" s="71"/>
      <c r="D32" s="71"/>
      <c r="E32" s="71"/>
      <c r="F32" s="71"/>
      <c r="G32" s="71"/>
      <c r="H32" s="71"/>
      <c r="I32" s="37">
        <f t="shared" ref="I32:M32" si="14">IFERROR(AVERAGE(I24:I31),0)</f>
        <v>96.907142857142858</v>
      </c>
      <c r="J32" s="37">
        <f t="shared" si="14"/>
        <v>100</v>
      </c>
      <c r="K32" s="37">
        <f t="shared" si="14"/>
        <v>100</v>
      </c>
      <c r="L32" s="37">
        <f t="shared" si="14"/>
        <v>100</v>
      </c>
      <c r="M32" s="37">
        <f t="shared" si="14"/>
        <v>99.381428571428572</v>
      </c>
    </row>
    <row r="33" spans="1:13" ht="21" customHeight="1" x14ac:dyDescent="0.25">
      <c r="A33" s="62" t="s">
        <v>95</v>
      </c>
      <c r="B33" s="62"/>
      <c r="C33" s="62"/>
      <c r="D33" s="62"/>
      <c r="E33" s="62"/>
      <c r="F33" s="62"/>
      <c r="G33" s="62"/>
      <c r="H33" s="62"/>
      <c r="I33" s="37">
        <f>IF(AVERAGE(I32,I23,I16,I11)&gt;100,100,AVERAGE(I32,I23,I16,I11))</f>
        <v>96.038660714285712</v>
      </c>
      <c r="J33" s="37">
        <f t="shared" ref="J33:M33" si="15">IF(AVERAGE(J32,J23,J16,J11)&gt;100,100,AVERAGE(J32,J23,J16,J11))</f>
        <v>98.882360511949742</v>
      </c>
      <c r="K33" s="37">
        <f t="shared" si="15"/>
        <v>99.666735325287036</v>
      </c>
      <c r="L33" s="37">
        <f t="shared" si="15"/>
        <v>99.996667353252874</v>
      </c>
      <c r="M33" s="37">
        <f t="shared" si="15"/>
        <v>98.716079022613584</v>
      </c>
    </row>
    <row r="34" spans="1:13" s="51" customFormat="1" ht="21" customHeight="1" x14ac:dyDescent="0.25">
      <c r="A34" s="54"/>
      <c r="B34" s="55"/>
      <c r="C34" s="55"/>
      <c r="E34" s="56"/>
      <c r="F34" s="52"/>
      <c r="G34" s="56"/>
      <c r="H34" s="52"/>
      <c r="I34" s="52"/>
      <c r="J34" s="52"/>
      <c r="K34" s="52"/>
      <c r="L34" s="52"/>
      <c r="M34" s="52"/>
    </row>
    <row r="35" spans="1:13" ht="21" customHeight="1" x14ac:dyDescent="0.25">
      <c r="A35" s="62" t="s">
        <v>131</v>
      </c>
      <c r="B35" s="62"/>
      <c r="C35" s="62"/>
      <c r="D35" s="62"/>
      <c r="E35" s="9">
        <f>SUM(E24:E31,E17:E22,E12:E15,E3:E10)</f>
        <v>160469801.40000001</v>
      </c>
      <c r="F35" s="47">
        <f t="shared" ref="F35:H35" si="16">SUM(F24:F31,F17:F22,F12:F15,F3:F10)</f>
        <v>3597219</v>
      </c>
      <c r="G35" s="9">
        <f t="shared" si="16"/>
        <v>151474368.90000004</v>
      </c>
      <c r="H35" s="47">
        <f t="shared" si="16"/>
        <v>3865177</v>
      </c>
      <c r="I35" s="52"/>
      <c r="J35" s="52"/>
      <c r="K35" s="52"/>
      <c r="L35" s="52"/>
      <c r="M35" s="52"/>
    </row>
    <row r="36" spans="1:13" s="51" customFormat="1" ht="21" customHeight="1" x14ac:dyDescent="0.25">
      <c r="A36" s="54"/>
      <c r="B36" s="55"/>
      <c r="C36" s="55"/>
      <c r="E36" s="56"/>
      <c r="F36" s="52"/>
      <c r="G36" s="56"/>
      <c r="H36" s="52"/>
      <c r="I36" s="52"/>
      <c r="J36" s="52"/>
      <c r="K36" s="52"/>
      <c r="L36" s="52"/>
      <c r="M36" s="52"/>
    </row>
    <row r="37" spans="1:13" s="51" customFormat="1" ht="21" customHeight="1" x14ac:dyDescent="0.25">
      <c r="A37" s="54"/>
      <c r="B37" s="55"/>
      <c r="C37" s="55"/>
      <c r="E37" s="56"/>
      <c r="F37" s="52"/>
      <c r="G37" s="56"/>
      <c r="H37" s="52"/>
      <c r="I37" s="52"/>
      <c r="J37" s="52"/>
      <c r="K37" s="52"/>
      <c r="L37" s="52"/>
      <c r="M37" s="52"/>
    </row>
    <row r="38" spans="1:13" s="51" customFormat="1" ht="21" customHeight="1" x14ac:dyDescent="0.25">
      <c r="A38" s="77" t="s">
        <v>144</v>
      </c>
      <c r="B38" s="78"/>
      <c r="C38" s="78"/>
      <c r="D38" s="78"/>
      <c r="E38" s="78"/>
      <c r="F38" s="78"/>
      <c r="G38" s="78"/>
      <c r="H38" s="79"/>
      <c r="I38" s="52"/>
      <c r="J38" s="52"/>
      <c r="K38" s="52"/>
      <c r="L38" s="52"/>
      <c r="M38" s="52"/>
    </row>
    <row r="39" spans="1:13" s="51" customFormat="1" ht="30.75" customHeight="1" x14ac:dyDescent="0.25">
      <c r="A39" s="74" t="s">
        <v>146</v>
      </c>
      <c r="B39" s="75"/>
      <c r="C39" s="75"/>
      <c r="D39" s="75"/>
      <c r="E39" s="75"/>
      <c r="F39" s="75"/>
      <c r="G39" s="75"/>
      <c r="H39" s="76"/>
      <c r="I39" s="52"/>
      <c r="J39" s="52"/>
      <c r="K39" s="52"/>
      <c r="L39" s="52"/>
      <c r="M39" s="52"/>
    </row>
    <row r="40" spans="1:13" s="51" customFormat="1" ht="30.75" customHeight="1" x14ac:dyDescent="0.25">
      <c r="A40" s="74" t="s">
        <v>145</v>
      </c>
      <c r="B40" s="75"/>
      <c r="C40" s="75"/>
      <c r="D40" s="75"/>
      <c r="E40" s="75"/>
      <c r="F40" s="75"/>
      <c r="G40" s="75"/>
      <c r="H40" s="76"/>
      <c r="I40" s="52"/>
      <c r="J40" s="52"/>
      <c r="K40" s="52"/>
      <c r="L40" s="52"/>
      <c r="M40" s="52"/>
    </row>
    <row r="41" spans="1:13" s="51" customFormat="1" ht="21" customHeight="1" x14ac:dyDescent="0.25">
      <c r="A41" s="54"/>
      <c r="B41" s="55"/>
      <c r="C41" s="55"/>
      <c r="E41" s="56"/>
      <c r="F41" s="52"/>
      <c r="G41" s="56"/>
      <c r="H41" s="52"/>
      <c r="I41" s="52"/>
      <c r="J41" s="52"/>
      <c r="K41" s="52"/>
      <c r="L41" s="52"/>
      <c r="M41" s="52"/>
    </row>
    <row r="42" spans="1:13" s="51" customFormat="1" ht="21" customHeight="1" x14ac:dyDescent="0.25">
      <c r="A42" s="54"/>
      <c r="B42" s="55"/>
      <c r="C42" s="55"/>
      <c r="E42" s="56"/>
      <c r="F42" s="52"/>
      <c r="G42" s="56"/>
      <c r="H42" s="52"/>
      <c r="I42" s="52"/>
      <c r="J42" s="52"/>
      <c r="K42" s="52"/>
      <c r="L42" s="52"/>
      <c r="M42" s="52"/>
    </row>
    <row r="43" spans="1:13" s="51" customFormat="1" x14ac:dyDescent="0.25">
      <c r="A43" s="54"/>
      <c r="B43" s="55"/>
      <c r="C43" s="55"/>
      <c r="E43" s="56"/>
      <c r="F43" s="52"/>
      <c r="G43" s="56"/>
      <c r="H43" s="52"/>
      <c r="I43" s="52"/>
      <c r="J43" s="52"/>
      <c r="K43" s="52"/>
      <c r="L43" s="52"/>
      <c r="M43" s="52"/>
    </row>
    <row r="44" spans="1:13" s="51" customFormat="1" x14ac:dyDescent="0.25">
      <c r="A44" s="54"/>
      <c r="B44" s="55"/>
      <c r="C44" s="55"/>
      <c r="E44" s="56"/>
      <c r="F44" s="52"/>
      <c r="G44" s="56"/>
      <c r="H44" s="52"/>
      <c r="I44" s="52"/>
      <c r="J44" s="52"/>
      <c r="K44" s="52"/>
      <c r="L44" s="52"/>
      <c r="M44" s="52"/>
    </row>
    <row r="45" spans="1:13" s="51" customFormat="1" x14ac:dyDescent="0.25">
      <c r="A45" s="54"/>
      <c r="B45" s="55"/>
      <c r="C45" s="55"/>
      <c r="E45" s="56"/>
      <c r="F45" s="52"/>
      <c r="G45" s="56"/>
      <c r="H45" s="52"/>
      <c r="I45" s="52"/>
      <c r="J45" s="52"/>
      <c r="K45" s="52"/>
      <c r="L45" s="52"/>
      <c r="M45" s="52"/>
    </row>
    <row r="46" spans="1:13" s="51" customFormat="1" x14ac:dyDescent="0.25">
      <c r="A46" s="54"/>
      <c r="B46" s="55"/>
      <c r="C46" s="55"/>
      <c r="E46" s="56"/>
      <c r="F46" s="52"/>
      <c r="G46" s="56"/>
      <c r="H46" s="52"/>
      <c r="I46" s="52"/>
      <c r="J46" s="52"/>
      <c r="K46" s="52"/>
      <c r="L46" s="52"/>
      <c r="M46" s="52"/>
    </row>
    <row r="47" spans="1:13" s="51" customFormat="1" x14ac:dyDescent="0.25">
      <c r="A47" s="54"/>
      <c r="B47" s="55"/>
      <c r="C47" s="55"/>
      <c r="E47" s="56"/>
      <c r="F47" s="52"/>
      <c r="G47" s="56"/>
      <c r="H47" s="52"/>
      <c r="I47" s="52"/>
      <c r="J47" s="52"/>
      <c r="K47" s="52"/>
      <c r="L47" s="52"/>
      <c r="M47" s="52"/>
    </row>
    <row r="48" spans="1:13" s="51" customFormat="1" x14ac:dyDescent="0.25">
      <c r="A48" s="54"/>
      <c r="B48" s="55"/>
      <c r="C48" s="55"/>
      <c r="E48" s="56"/>
      <c r="F48" s="52"/>
      <c r="G48" s="56"/>
      <c r="H48" s="52"/>
      <c r="I48" s="52"/>
      <c r="J48" s="52"/>
      <c r="K48" s="52"/>
      <c r="L48" s="52"/>
      <c r="M48" s="52"/>
    </row>
    <row r="49" spans="1:13" s="51" customFormat="1" x14ac:dyDescent="0.25">
      <c r="A49" s="54"/>
      <c r="B49" s="55"/>
      <c r="C49" s="55"/>
      <c r="E49" s="56"/>
      <c r="F49" s="52"/>
      <c r="G49" s="56"/>
      <c r="H49" s="52"/>
      <c r="I49" s="52"/>
      <c r="J49" s="52"/>
      <c r="K49" s="52"/>
      <c r="L49" s="52"/>
      <c r="M49" s="52"/>
    </row>
    <row r="50" spans="1:13" s="51" customFormat="1" x14ac:dyDescent="0.25">
      <c r="A50" s="54"/>
      <c r="B50" s="55"/>
      <c r="C50" s="55"/>
      <c r="E50" s="56"/>
      <c r="F50" s="52"/>
      <c r="G50" s="56"/>
      <c r="H50" s="52"/>
      <c r="I50" s="52"/>
      <c r="J50" s="52"/>
      <c r="K50" s="52"/>
      <c r="L50" s="52"/>
      <c r="M50" s="52"/>
    </row>
    <row r="51" spans="1:13" s="51" customFormat="1" x14ac:dyDescent="0.25">
      <c r="A51" s="54"/>
      <c r="B51" s="55"/>
      <c r="C51" s="55"/>
      <c r="E51" s="56"/>
      <c r="F51" s="52"/>
      <c r="G51" s="56"/>
      <c r="H51" s="52"/>
      <c r="I51" s="52"/>
      <c r="J51" s="52"/>
      <c r="K51" s="52"/>
      <c r="L51" s="52"/>
      <c r="M51" s="52"/>
    </row>
    <row r="52" spans="1:13" s="51" customFormat="1" x14ac:dyDescent="0.25">
      <c r="A52" s="54"/>
      <c r="B52" s="55"/>
      <c r="C52" s="55"/>
      <c r="E52" s="56"/>
      <c r="F52" s="52"/>
      <c r="G52" s="56"/>
      <c r="H52" s="52"/>
      <c r="I52" s="52"/>
      <c r="J52" s="52"/>
      <c r="K52" s="52"/>
      <c r="L52" s="52"/>
      <c r="M52" s="52"/>
    </row>
    <row r="53" spans="1:13" s="51" customFormat="1" x14ac:dyDescent="0.25">
      <c r="A53" s="54"/>
      <c r="B53" s="55"/>
      <c r="C53" s="55"/>
      <c r="E53" s="56"/>
      <c r="F53" s="52"/>
      <c r="G53" s="56"/>
      <c r="H53" s="52"/>
      <c r="I53" s="52"/>
      <c r="J53" s="52"/>
      <c r="K53" s="52"/>
      <c r="L53" s="52"/>
      <c r="M53" s="52"/>
    </row>
    <row r="54" spans="1:13" s="51" customFormat="1" x14ac:dyDescent="0.25">
      <c r="A54" s="54"/>
      <c r="B54" s="55"/>
      <c r="C54" s="55"/>
      <c r="E54" s="56"/>
      <c r="F54" s="52"/>
      <c r="G54" s="56"/>
      <c r="H54" s="52"/>
      <c r="I54" s="52"/>
      <c r="J54" s="52"/>
      <c r="K54" s="52"/>
      <c r="L54" s="52"/>
      <c r="M54" s="52"/>
    </row>
    <row r="55" spans="1:13" s="51" customFormat="1" x14ac:dyDescent="0.25">
      <c r="A55" s="54"/>
      <c r="B55" s="55"/>
      <c r="C55" s="55"/>
      <c r="E55" s="56"/>
      <c r="F55" s="52"/>
      <c r="G55" s="56"/>
      <c r="H55" s="52"/>
      <c r="I55" s="52"/>
      <c r="J55" s="52"/>
      <c r="K55" s="52"/>
      <c r="L55" s="52"/>
      <c r="M55" s="52"/>
    </row>
    <row r="56" spans="1:13" s="51" customFormat="1" x14ac:dyDescent="0.25">
      <c r="A56" s="54"/>
      <c r="B56" s="55"/>
      <c r="C56" s="55"/>
      <c r="E56" s="56"/>
      <c r="F56" s="52"/>
      <c r="G56" s="56"/>
      <c r="H56" s="52"/>
      <c r="I56" s="52"/>
      <c r="J56" s="52"/>
      <c r="K56" s="52"/>
      <c r="L56" s="52"/>
      <c r="M56" s="52"/>
    </row>
    <row r="57" spans="1:13" s="51" customFormat="1" x14ac:dyDescent="0.25">
      <c r="A57" s="54"/>
      <c r="B57" s="55"/>
      <c r="C57" s="55"/>
      <c r="E57" s="56"/>
      <c r="F57" s="52"/>
      <c r="G57" s="56"/>
      <c r="H57" s="52"/>
      <c r="I57" s="52"/>
      <c r="J57" s="52"/>
      <c r="K57" s="52"/>
      <c r="L57" s="52"/>
      <c r="M57" s="52"/>
    </row>
    <row r="58" spans="1:13" s="51" customFormat="1" x14ac:dyDescent="0.25">
      <c r="A58" s="54"/>
      <c r="B58" s="55"/>
      <c r="C58" s="55"/>
      <c r="E58" s="56"/>
      <c r="F58" s="52"/>
      <c r="G58" s="56"/>
      <c r="H58" s="52"/>
      <c r="I58" s="52"/>
      <c r="J58" s="52"/>
      <c r="K58" s="52"/>
      <c r="L58" s="52"/>
      <c r="M58" s="52"/>
    </row>
    <row r="59" spans="1:13" s="51" customFormat="1" x14ac:dyDescent="0.25">
      <c r="A59" s="54"/>
      <c r="B59" s="55"/>
      <c r="C59" s="55"/>
      <c r="E59" s="56"/>
      <c r="F59" s="52"/>
      <c r="G59" s="56"/>
      <c r="H59" s="52"/>
      <c r="I59" s="52"/>
      <c r="J59" s="52"/>
      <c r="K59" s="52"/>
      <c r="L59" s="52"/>
      <c r="M59" s="52"/>
    </row>
    <row r="60" spans="1:13" s="51" customFormat="1" x14ac:dyDescent="0.25">
      <c r="A60" s="54"/>
      <c r="B60" s="55"/>
      <c r="C60" s="55"/>
      <c r="E60" s="56"/>
      <c r="F60" s="52"/>
      <c r="G60" s="56"/>
      <c r="H60" s="52"/>
      <c r="I60" s="52"/>
      <c r="J60" s="52"/>
      <c r="K60" s="52"/>
      <c r="L60" s="52"/>
      <c r="M60" s="52"/>
    </row>
    <row r="61" spans="1:13" s="51" customFormat="1" x14ac:dyDescent="0.25">
      <c r="A61" s="54"/>
      <c r="B61" s="55"/>
      <c r="C61" s="55"/>
      <c r="E61" s="56"/>
      <c r="F61" s="52"/>
      <c r="G61" s="56"/>
      <c r="H61" s="52"/>
      <c r="I61" s="52"/>
      <c r="J61" s="52"/>
      <c r="K61" s="52"/>
      <c r="L61" s="52"/>
      <c r="M61" s="52"/>
    </row>
    <row r="62" spans="1:13" s="51" customFormat="1" x14ac:dyDescent="0.25">
      <c r="A62" s="54"/>
      <c r="B62" s="55"/>
      <c r="C62" s="55"/>
      <c r="E62" s="56"/>
      <c r="F62" s="52"/>
      <c r="G62" s="56"/>
      <c r="H62" s="52"/>
      <c r="I62" s="52"/>
      <c r="J62" s="52"/>
      <c r="K62" s="52"/>
      <c r="L62" s="52"/>
      <c r="M62" s="52"/>
    </row>
    <row r="63" spans="1:13" s="51" customFormat="1" x14ac:dyDescent="0.25">
      <c r="A63" s="54"/>
      <c r="B63" s="55"/>
      <c r="C63" s="55"/>
      <c r="E63" s="56"/>
      <c r="F63" s="52"/>
      <c r="G63" s="56"/>
      <c r="H63" s="52"/>
      <c r="I63" s="52"/>
      <c r="J63" s="52"/>
      <c r="K63" s="52"/>
      <c r="L63" s="52"/>
      <c r="M63" s="52"/>
    </row>
    <row r="64" spans="1:13" s="51" customFormat="1" x14ac:dyDescent="0.25">
      <c r="A64" s="54"/>
      <c r="B64" s="55"/>
      <c r="C64" s="55"/>
      <c r="E64" s="56"/>
      <c r="F64" s="52"/>
      <c r="G64" s="56"/>
      <c r="H64" s="52"/>
      <c r="I64" s="52"/>
      <c r="J64" s="52"/>
      <c r="K64" s="52"/>
      <c r="L64" s="52"/>
      <c r="M64" s="52"/>
    </row>
    <row r="65" spans="1:13" s="51" customFormat="1" x14ac:dyDescent="0.25">
      <c r="A65" s="54"/>
      <c r="B65" s="55"/>
      <c r="C65" s="55"/>
      <c r="E65" s="56"/>
      <c r="F65" s="52"/>
      <c r="G65" s="56"/>
      <c r="H65" s="52"/>
      <c r="I65" s="52"/>
      <c r="J65" s="52"/>
      <c r="K65" s="52"/>
      <c r="L65" s="52"/>
      <c r="M65" s="52"/>
    </row>
    <row r="66" spans="1:13" s="51" customFormat="1" x14ac:dyDescent="0.25">
      <c r="A66" s="54"/>
      <c r="B66" s="55"/>
      <c r="C66" s="55"/>
      <c r="E66" s="56"/>
      <c r="F66" s="52"/>
      <c r="G66" s="56"/>
      <c r="H66" s="52"/>
      <c r="I66" s="52"/>
      <c r="J66" s="52"/>
      <c r="K66" s="52"/>
      <c r="L66" s="52"/>
      <c r="M66" s="52"/>
    </row>
  </sheetData>
  <sheetProtection formatCells="0" formatColumns="0"/>
  <mergeCells count="35">
    <mergeCell ref="E3:E6"/>
    <mergeCell ref="G3:G6"/>
    <mergeCell ref="A30:A31"/>
    <mergeCell ref="B30:B31"/>
    <mergeCell ref="A32:H32"/>
    <mergeCell ref="A28:A29"/>
    <mergeCell ref="B7:B8"/>
    <mergeCell ref="E24:E26"/>
    <mergeCell ref="G24:G26"/>
    <mergeCell ref="A40:H40"/>
    <mergeCell ref="A7:A8"/>
    <mergeCell ref="G28:G29"/>
    <mergeCell ref="G30:G31"/>
    <mergeCell ref="A38:H38"/>
    <mergeCell ref="A39:H39"/>
    <mergeCell ref="A35:D35"/>
    <mergeCell ref="A33:H33"/>
    <mergeCell ref="E7:E8"/>
    <mergeCell ref="G7:G8"/>
    <mergeCell ref="I1:M1"/>
    <mergeCell ref="E18:E19"/>
    <mergeCell ref="G18:G19"/>
    <mergeCell ref="E30:E31"/>
    <mergeCell ref="B28:B29"/>
    <mergeCell ref="A11:H11"/>
    <mergeCell ref="A16:H16"/>
    <mergeCell ref="A18:A19"/>
    <mergeCell ref="B18:B19"/>
    <mergeCell ref="A23:H23"/>
    <mergeCell ref="A24:A26"/>
    <mergeCell ref="B24:B26"/>
    <mergeCell ref="E28:E29"/>
    <mergeCell ref="A1:H1"/>
    <mergeCell ref="A3:A6"/>
    <mergeCell ref="B3:B6"/>
  </mergeCells>
  <conditionalFormatting sqref="I3:I10 I12:I15 I17:I22 I24:I31">
    <cfRule type="cellIs" dxfId="10" priority="5" operator="lessThan">
      <formula>75</formula>
    </cfRule>
  </conditionalFormatting>
  <conditionalFormatting sqref="J3:J10 J12:J15 J17:J22 J24:J31">
    <cfRule type="cellIs" dxfId="9" priority="4" operator="lessThan">
      <formula>80</formula>
    </cfRule>
  </conditionalFormatting>
  <conditionalFormatting sqref="K3:L10 K12:L15 K17:L22 K24:L31">
    <cfRule type="cellIs" dxfId="8" priority="3" operator="lessThan">
      <formula>95</formula>
    </cfRule>
  </conditionalFormatting>
  <printOptions horizontalCentered="1"/>
  <pageMargins left="0.19685039370078741" right="0.19685039370078741" top="1.1811023622047245" bottom="0.59055118110236227" header="0.11811023622047245" footer="0.11811023622047245"/>
  <pageSetup paperSize="9" fitToHeight="0" orientation="landscape" r:id="rId1"/>
  <headerFooter>
    <oddHeader>&amp;L&amp;G&amp;C&amp;"Arial,Negrito"&amp;10ORGANIZAÇÃO DAS VOLUNTÁRIAS DE GOIÁS
DIRETORIA GERAL
GERÊNCIA ESTRATÉGICA DE PLANEJAMENTO E GOVERNANÇA       
INDICADOR DE DESEMPENHO</oddHeader>
    <oddFooter>&amp;R&amp;P de &amp;N</oddFooter>
  </headerFooter>
  <rowBreaks count="1" manualBreakCount="1">
    <brk id="23"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P113"/>
  <sheetViews>
    <sheetView view="pageBreakPreview" zoomScaleNormal="100" zoomScaleSheetLayoutView="100" workbookViewId="0">
      <pane ySplit="2" topLeftCell="A29" activePane="bottomLeft" state="frozen"/>
      <selection pane="bottomLeft" sqref="A1:M1"/>
    </sheetView>
  </sheetViews>
  <sheetFormatPr defaultColWidth="8.85546875" defaultRowHeight="12.75" x14ac:dyDescent="0.25"/>
  <cols>
    <col min="1" max="1" width="9.5703125" style="42" customWidth="1"/>
    <col min="2" max="2" width="26.28515625" style="43" customWidth="1"/>
    <col min="3" max="3" width="7.7109375" style="43" customWidth="1"/>
    <col min="4" max="4" width="41.7109375" style="34" customWidth="1"/>
    <col min="5" max="5" width="15" style="3" customWidth="1"/>
    <col min="6" max="6" width="9.42578125" style="38" customWidth="1"/>
    <col min="7" max="7" width="15.7109375" style="3" customWidth="1"/>
    <col min="8" max="8" width="9.5703125" style="38" customWidth="1"/>
    <col min="9" max="11" width="8.7109375" style="38" customWidth="1"/>
    <col min="12" max="12" width="13" style="38" customWidth="1"/>
    <col min="13" max="13" width="7" style="38" customWidth="1"/>
    <col min="14" max="42" width="8.85546875" style="51"/>
    <col min="43" max="16384" width="8.85546875" style="34"/>
  </cols>
  <sheetData>
    <row r="1" spans="1:13" ht="21" customHeight="1" x14ac:dyDescent="0.25">
      <c r="A1" s="62" t="s">
        <v>92</v>
      </c>
      <c r="B1" s="62"/>
      <c r="C1" s="62"/>
      <c r="D1" s="62"/>
      <c r="E1" s="62"/>
      <c r="F1" s="62"/>
      <c r="G1" s="62"/>
      <c r="H1" s="62"/>
      <c r="I1" s="62" t="s">
        <v>104</v>
      </c>
      <c r="J1" s="62"/>
      <c r="K1" s="62"/>
      <c r="L1" s="62"/>
      <c r="M1" s="62"/>
    </row>
    <row r="2" spans="1:13" ht="33" customHeight="1" x14ac:dyDescent="0.25">
      <c r="A2" s="15" t="s">
        <v>0</v>
      </c>
      <c r="B2" s="15" t="s">
        <v>1</v>
      </c>
      <c r="C2" s="15" t="s">
        <v>2</v>
      </c>
      <c r="D2" s="15" t="s">
        <v>3</v>
      </c>
      <c r="E2" s="6" t="s">
        <v>102</v>
      </c>
      <c r="F2" s="7" t="s">
        <v>4</v>
      </c>
      <c r="G2" s="6" t="s">
        <v>103</v>
      </c>
      <c r="H2" s="7" t="s">
        <v>86</v>
      </c>
      <c r="I2" s="6" t="s">
        <v>91</v>
      </c>
      <c r="J2" s="6" t="s">
        <v>88</v>
      </c>
      <c r="K2" s="6" t="s">
        <v>137</v>
      </c>
      <c r="L2" s="6" t="s">
        <v>89</v>
      </c>
      <c r="M2" s="6" t="s">
        <v>90</v>
      </c>
    </row>
    <row r="3" spans="1:13" ht="21" customHeight="1" x14ac:dyDescent="0.25">
      <c r="A3" s="72" t="s">
        <v>5</v>
      </c>
      <c r="B3" s="73" t="s">
        <v>6</v>
      </c>
      <c r="C3" s="18" t="s">
        <v>7</v>
      </c>
      <c r="D3" s="19" t="s">
        <v>8</v>
      </c>
      <c r="E3" s="60">
        <f>'Planejado 2024-1'!I3</f>
        <v>8303542</v>
      </c>
      <c r="F3" s="46">
        <f>'Planejado 2024-1'!J3</f>
        <v>408</v>
      </c>
      <c r="G3" s="60">
        <v>6274838.3899999997</v>
      </c>
      <c r="H3" s="46">
        <v>401</v>
      </c>
      <c r="I3" s="32">
        <v>96.67</v>
      </c>
      <c r="J3" s="32">
        <f>IF(IFERROR((H3/F3)*100,0)&gt;100,100,IFERROR((H3/F3)*100,0))</f>
        <v>98.284313725490193</v>
      </c>
      <c r="K3" s="32">
        <f>IF(IFERROR(((H3/$G$3)/(F3/$E$3))*100,0)&gt;100,100,IFERROR(((H3/$G$3)/(F3/$E$3))*100,0))</f>
        <v>100</v>
      </c>
      <c r="L3" s="32">
        <f>IF(IFERROR(((($E$3/F3)-($G$3/H3))/($G$3/H3))+1*100,0)&gt;100,100,IFERROR(((($E$3/F3)-($G$3/H3))/($G$3/H3))+1*100,0))</f>
        <v>100</v>
      </c>
      <c r="M3" s="33">
        <f>((I3*0.2+J3*0.35+K3*0.3+L3*0.15))</f>
        <v>98.733509803921578</v>
      </c>
    </row>
    <row r="4" spans="1:13" ht="21" customHeight="1" x14ac:dyDescent="0.25">
      <c r="A4" s="72"/>
      <c r="B4" s="73"/>
      <c r="C4" s="18" t="s">
        <v>9</v>
      </c>
      <c r="D4" s="19" t="s">
        <v>10</v>
      </c>
      <c r="E4" s="60"/>
      <c r="F4" s="46">
        <f>'Planejado 2024-1'!J4</f>
        <v>162</v>
      </c>
      <c r="G4" s="60"/>
      <c r="H4" s="46">
        <v>154</v>
      </c>
      <c r="I4" s="32">
        <v>83.33</v>
      </c>
      <c r="J4" s="32">
        <f t="shared" ref="J4:J10" si="0">IF(IFERROR((H4/F4)*100,0)&gt;100,100,IFERROR((H4/F4)*100,0))</f>
        <v>95.061728395061735</v>
      </c>
      <c r="K4" s="32">
        <f t="shared" ref="K4:K6" si="1">IF(IFERROR(((H4/$G$3)/(F4/$E$3))*100,0)&gt;100,100,IFERROR(((H4/$G$3)/(F4/$E$3))*100,0))</f>
        <v>100</v>
      </c>
      <c r="L4" s="32">
        <f t="shared" ref="L4:L6" si="2">IF(IFERROR(((($E$3/F4)-($G$3/H4))/($G$3/H4))+1*100,0)&gt;100,100,IFERROR(((($E$3/F4)-($G$3/H4))/($G$3/H4))+1*100,0))</f>
        <v>100</v>
      </c>
      <c r="M4" s="33">
        <f t="shared" ref="M4:M10" si="3">((I4*0.2+J4*0.35+K4*0.3+L4*0.15))</f>
        <v>94.937604938271605</v>
      </c>
    </row>
    <row r="5" spans="1:13" ht="21" customHeight="1" x14ac:dyDescent="0.25">
      <c r="A5" s="72"/>
      <c r="B5" s="73"/>
      <c r="C5" s="18" t="s">
        <v>11</v>
      </c>
      <c r="D5" s="19" t="s">
        <v>12</v>
      </c>
      <c r="E5" s="60"/>
      <c r="F5" s="46">
        <f>'Planejado 2024-1'!J5</f>
        <v>180</v>
      </c>
      <c r="G5" s="60"/>
      <c r="H5" s="46">
        <v>181</v>
      </c>
      <c r="I5" s="32">
        <v>100</v>
      </c>
      <c r="J5" s="32">
        <f t="shared" si="0"/>
        <v>100</v>
      </c>
      <c r="K5" s="32">
        <f t="shared" si="1"/>
        <v>100</v>
      </c>
      <c r="L5" s="32">
        <f t="shared" si="2"/>
        <v>100</v>
      </c>
      <c r="M5" s="33">
        <f t="shared" si="3"/>
        <v>100</v>
      </c>
    </row>
    <row r="6" spans="1:13" ht="21" customHeight="1" x14ac:dyDescent="0.25">
      <c r="A6" s="72"/>
      <c r="B6" s="73"/>
      <c r="C6" s="18" t="s">
        <v>13</v>
      </c>
      <c r="D6" s="20" t="s">
        <v>14</v>
      </c>
      <c r="E6" s="60"/>
      <c r="F6" s="46">
        <f>'Planejado 2024-1'!J6</f>
        <v>1770</v>
      </c>
      <c r="G6" s="60"/>
      <c r="H6" s="46">
        <v>2028</v>
      </c>
      <c r="I6" s="32">
        <v>96.6</v>
      </c>
      <c r="J6" s="32">
        <f>IF(IFERROR((H6/F6)*100,0)&gt;100,100,IFERROR((H6/F6)*100,0))</f>
        <v>100</v>
      </c>
      <c r="K6" s="32">
        <f t="shared" si="1"/>
        <v>100</v>
      </c>
      <c r="L6" s="32">
        <f t="shared" si="2"/>
        <v>100</v>
      </c>
      <c r="M6" s="33">
        <f t="shared" si="3"/>
        <v>99.32</v>
      </c>
    </row>
    <row r="7" spans="1:13" ht="21" customHeight="1" x14ac:dyDescent="0.25">
      <c r="A7" s="72" t="s">
        <v>15</v>
      </c>
      <c r="B7" s="73" t="s">
        <v>16</v>
      </c>
      <c r="C7" s="18" t="s">
        <v>17</v>
      </c>
      <c r="D7" s="19" t="s">
        <v>10</v>
      </c>
      <c r="E7" s="60">
        <f>'Planejado 2024-1'!I7</f>
        <v>1781702</v>
      </c>
      <c r="F7" s="46">
        <f>'Planejado 2024-1'!J7</f>
        <v>178</v>
      </c>
      <c r="G7" s="60">
        <v>1325529.1100000001</v>
      </c>
      <c r="H7" s="46">
        <v>174</v>
      </c>
      <c r="I7" s="32">
        <v>96.43</v>
      </c>
      <c r="J7" s="32">
        <f>IF(IFERROR((H7/F7)*100,0)&gt;100,100,IFERROR((H7/F7)*100,0))</f>
        <v>97.752808988764045</v>
      </c>
      <c r="K7" s="32">
        <f>IF(IFERROR(((H7/$G$7)/(F7/$E$7))*100,0)&gt;100,100,IFERROR(((H7/$G$7)/(F7/$E$7))*100,0))</f>
        <v>100</v>
      </c>
      <c r="L7" s="32">
        <f>IF(IFERROR(((($E$7/F7)-($G$7/H7))/($G$7/H7))+1*100,0)&gt;100,100,IFERROR(((($E$7/F7)-($G$7/H7))/($G$7/H7))+1*100,0))</f>
        <v>100</v>
      </c>
      <c r="M7" s="33">
        <f t="shared" si="3"/>
        <v>98.499483146067405</v>
      </c>
    </row>
    <row r="8" spans="1:13" ht="21" customHeight="1" x14ac:dyDescent="0.25">
      <c r="A8" s="72"/>
      <c r="B8" s="73"/>
      <c r="C8" s="18" t="s">
        <v>18</v>
      </c>
      <c r="D8" s="19" t="s">
        <v>14</v>
      </c>
      <c r="E8" s="60"/>
      <c r="F8" s="46">
        <f>'Planejado 2024-1'!J8</f>
        <v>2950</v>
      </c>
      <c r="G8" s="60"/>
      <c r="H8" s="46">
        <v>2485</v>
      </c>
      <c r="I8" s="32">
        <v>98.18</v>
      </c>
      <c r="J8" s="32">
        <f>IF(IFERROR((H8/F8)*100,0)&gt;100,100,IFERROR((H8/F8)*100,0))</f>
        <v>84.237288135593218</v>
      </c>
      <c r="K8" s="32">
        <f>IF(IFERROR(((H8/$G$7)/(F8/$E$7))*100,0)&gt;100,100,IFERROR(((H8/$G$7)/(F8/$E$7))*100,0))</f>
        <v>100</v>
      </c>
      <c r="L8" s="32">
        <f>IF(IFERROR(((($E$7/F8)-($G$7/H8))/($G$7/H8))+1*100,0)&gt;100,100,IFERROR(((($E$7/F8)-($G$7/H8))/($G$7/H8))+1*100,0))</f>
        <v>100</v>
      </c>
      <c r="M8" s="33">
        <f t="shared" si="3"/>
        <v>94.119050847457629</v>
      </c>
    </row>
    <row r="9" spans="1:13" ht="21" customHeight="1" x14ac:dyDescent="0.25">
      <c r="A9" s="21" t="s">
        <v>19</v>
      </c>
      <c r="B9" s="19" t="s">
        <v>20</v>
      </c>
      <c r="C9" s="18" t="s">
        <v>21</v>
      </c>
      <c r="D9" s="19" t="s">
        <v>14</v>
      </c>
      <c r="E9" s="10">
        <f>'Planejado 2024-1'!I9</f>
        <v>1729918</v>
      </c>
      <c r="F9" s="46">
        <f>'Planejado 2024-1'!$J$9</f>
        <v>1590</v>
      </c>
      <c r="G9" s="10">
        <v>2036047.3</v>
      </c>
      <c r="H9" s="46">
        <v>1595</v>
      </c>
      <c r="I9" s="32">
        <v>95.04</v>
      </c>
      <c r="J9" s="32">
        <f t="shared" si="0"/>
        <v>100</v>
      </c>
      <c r="K9" s="32">
        <f>IF(IFERROR(((H9/G9)/(F9/E9))*100,0)&gt;100,100,IFERROR(((H9/G9)/(F9/E9))*100,0))</f>
        <v>85.231713119370639</v>
      </c>
      <c r="L9" s="32">
        <f>IF(IFERROR((((E9/F9)-(G9/H9))/(G9/H9))+1*100,0)&gt;100,100,IFERROR((((E9/F9)-(G9/H9))/(G9/H9))+1*100,0))</f>
        <v>99.852317131193701</v>
      </c>
      <c r="M9" s="33">
        <f t="shared" si="3"/>
        <v>94.555361505490254</v>
      </c>
    </row>
    <row r="10" spans="1:13" ht="21" customHeight="1" x14ac:dyDescent="0.25">
      <c r="A10" s="21" t="s">
        <v>22</v>
      </c>
      <c r="B10" s="19" t="s">
        <v>23</v>
      </c>
      <c r="C10" s="18" t="s">
        <v>24</v>
      </c>
      <c r="D10" s="19" t="s">
        <v>14</v>
      </c>
      <c r="E10" s="10">
        <f>'Planejado 2024-1'!I10</f>
        <v>2488080</v>
      </c>
      <c r="F10" s="46">
        <f>'Planejado 2024-1'!J10</f>
        <v>1650</v>
      </c>
      <c r="G10" s="10">
        <v>738489.91</v>
      </c>
      <c r="H10" s="46">
        <v>1718</v>
      </c>
      <c r="I10" s="32">
        <v>95.07</v>
      </c>
      <c r="J10" s="32">
        <f t="shared" si="0"/>
        <v>100</v>
      </c>
      <c r="K10" s="32">
        <f>IF(IFERROR(((H10/G10)/(F10/E10))*100,0)&gt;100,100,IFERROR(((H10/G10)/(F10/E10))*100,0))</f>
        <v>100</v>
      </c>
      <c r="L10" s="32">
        <f>IF(IFERROR((((E10/F10)-(G10/H10))/(G10/H10))+1*100,0)&gt;100,100,IFERROR((((E10/F10)-(G10/H10))/(G10/H10))+1*100,0))</f>
        <v>100</v>
      </c>
      <c r="M10" s="33">
        <f t="shared" si="3"/>
        <v>99.013999999999996</v>
      </c>
    </row>
    <row r="11" spans="1:13" ht="21" customHeight="1" x14ac:dyDescent="0.25">
      <c r="A11" s="70" t="s">
        <v>99</v>
      </c>
      <c r="B11" s="71"/>
      <c r="C11" s="71"/>
      <c r="D11" s="71"/>
      <c r="E11" s="71"/>
      <c r="F11" s="71"/>
      <c r="G11" s="71"/>
      <c r="H11" s="71"/>
      <c r="I11" s="37">
        <f>IFERROR(AVERAGE(I3:I10),0)</f>
        <v>95.164999999999992</v>
      </c>
      <c r="J11" s="37">
        <f t="shared" ref="J11:M11" si="4">IFERROR(AVERAGE(J3:J10),0)</f>
        <v>96.917017405613649</v>
      </c>
      <c r="K11" s="37">
        <f t="shared" si="4"/>
        <v>98.153964139921328</v>
      </c>
      <c r="L11" s="37">
        <f t="shared" si="4"/>
        <v>99.981539641399209</v>
      </c>
      <c r="M11" s="37">
        <f t="shared" si="4"/>
        <v>97.397376280151065</v>
      </c>
    </row>
    <row r="12" spans="1:13" ht="33" customHeight="1" x14ac:dyDescent="0.25">
      <c r="A12" s="18" t="s">
        <v>25</v>
      </c>
      <c r="B12" s="22" t="s">
        <v>26</v>
      </c>
      <c r="C12" s="18" t="s">
        <v>27</v>
      </c>
      <c r="D12" s="22" t="s">
        <v>28</v>
      </c>
      <c r="E12" s="10">
        <f>'Planejado 2024-1'!I12</f>
        <v>2823654</v>
      </c>
      <c r="F12" s="46">
        <f>'Planejado 2024-1'!J12</f>
        <v>2750</v>
      </c>
      <c r="G12" s="10">
        <v>1760583.81</v>
      </c>
      <c r="H12" s="46">
        <v>4711</v>
      </c>
      <c r="I12" s="32">
        <v>97.12</v>
      </c>
      <c r="J12" s="32">
        <f>IF(IFERROR((H12/F12)*100,0)&gt;100,100,IFERROR((H12/F12)*100,0))</f>
        <v>100</v>
      </c>
      <c r="K12" s="32">
        <f>IF(IFERROR(((H12/G12)/(F12/E12))*100,0)&gt;100,100,IFERROR(((H12/G12)/(F12/E12))*100,0))</f>
        <v>100</v>
      </c>
      <c r="L12" s="32">
        <f>IF(IFERROR((((E12/F12)-(G12/H12))/(G12/H12))+1*100,0)&gt;100,100,IFERROR((((E12/F12)-(G12/H12))/(G12/H12))+1*100,0))</f>
        <v>100</v>
      </c>
      <c r="M12" s="33">
        <f t="shared" ref="M12:M14" si="5">((I12*0.2+J12*0.35+K12*0.3+L12*0.15))</f>
        <v>99.424000000000007</v>
      </c>
    </row>
    <row r="13" spans="1:13" ht="33" customHeight="1" x14ac:dyDescent="0.25">
      <c r="A13" s="18" t="s">
        <v>29</v>
      </c>
      <c r="B13" s="22" t="s">
        <v>30</v>
      </c>
      <c r="C13" s="18" t="s">
        <v>31</v>
      </c>
      <c r="D13" s="19" t="s">
        <v>32</v>
      </c>
      <c r="E13" s="10">
        <f>'Planejado 2024-1'!I13</f>
        <v>964923</v>
      </c>
      <c r="F13" s="46">
        <f>'Planejado 2024-1'!J13</f>
        <v>900</v>
      </c>
      <c r="G13" s="10">
        <v>640725.68000000005</v>
      </c>
      <c r="H13" s="46">
        <v>950</v>
      </c>
      <c r="I13" s="32">
        <v>98.95</v>
      </c>
      <c r="J13" s="32">
        <f t="shared" ref="J13:J14" si="6">IF(IFERROR((H13/F13)*100,0)&gt;100,100,IFERROR((H13/F13)*100,0))</f>
        <v>100</v>
      </c>
      <c r="K13" s="32">
        <f>IF(IFERROR(((H13/G13)/(F13/E13))*100,0)&gt;100,100,IFERROR(((H13/G13)/(F13/E13))*100,0))</f>
        <v>100</v>
      </c>
      <c r="L13" s="32">
        <f>IF(IFERROR((((E13/F13)-(G13/H13))/(G13/H13))+1*100,0)&gt;100,100,IFERROR((((E13/F13)-(G13/H13))/(G13/H13))+1*100,0))</f>
        <v>100</v>
      </c>
      <c r="M13" s="33">
        <f t="shared" si="5"/>
        <v>99.79</v>
      </c>
    </row>
    <row r="14" spans="1:13" ht="33" customHeight="1" x14ac:dyDescent="0.25">
      <c r="A14" s="18" t="s">
        <v>33</v>
      </c>
      <c r="B14" s="22" t="s">
        <v>34</v>
      </c>
      <c r="C14" s="18" t="s">
        <v>35</v>
      </c>
      <c r="D14" s="19" t="s">
        <v>36</v>
      </c>
      <c r="E14" s="10">
        <f>'Planejado 2024-1'!I14</f>
        <v>75397286</v>
      </c>
      <c r="F14" s="46">
        <f>'Planejado 2024-1'!J14</f>
        <v>84000</v>
      </c>
      <c r="G14" s="10">
        <v>73830317.150000006</v>
      </c>
      <c r="H14" s="46">
        <v>89029</v>
      </c>
      <c r="I14" s="32">
        <v>96.06</v>
      </c>
      <c r="J14" s="32">
        <f t="shared" si="6"/>
        <v>100</v>
      </c>
      <c r="K14" s="32">
        <f>IF(IFERROR(((H14/G14)/(F14/E14))*100,0)&gt;100,100,IFERROR(((H14/G14)/(F14/E14))*100,0))</f>
        <v>100</v>
      </c>
      <c r="L14" s="32">
        <f>IF(IFERROR((((E14/F14)-(G14/H14))/(G14/H14))+1*100,0)&gt;100,100,IFERROR((((E14/F14)-(G14/H14))/(G14/H14))+1*100,0))</f>
        <v>100</v>
      </c>
      <c r="M14" s="33">
        <f t="shared" si="5"/>
        <v>99.212000000000003</v>
      </c>
    </row>
    <row r="15" spans="1:13" ht="33" customHeight="1" x14ac:dyDescent="0.25">
      <c r="A15" s="18" t="s">
        <v>37</v>
      </c>
      <c r="B15" s="22" t="s">
        <v>38</v>
      </c>
      <c r="C15" s="18" t="s">
        <v>39</v>
      </c>
      <c r="D15" s="19" t="s">
        <v>40</v>
      </c>
      <c r="E15" s="10">
        <f>'Planejado 2024-1'!I15</f>
        <v>693473.74</v>
      </c>
      <c r="F15" s="46">
        <f>'Planejado 2024-1'!J15</f>
        <v>5000</v>
      </c>
      <c r="G15" s="10">
        <v>347122.23</v>
      </c>
      <c r="H15" s="46">
        <v>5538</v>
      </c>
      <c r="I15" s="32">
        <v>97.03</v>
      </c>
      <c r="J15" s="32">
        <f>IF(IFERROR((H15/F15)*100,0)&gt;100,100,IFERROR((H15/F15)*100,0))</f>
        <v>100</v>
      </c>
      <c r="K15" s="32">
        <f>IF(IFERROR(((H15/G15)/(F15/E15))*100,0)&gt;100,100,IFERROR(((H15/G15)/(F15/E15))*100,0))</f>
        <v>100</v>
      </c>
      <c r="L15" s="32">
        <f>IF(IFERROR((((E15/F15)-(G15/H15))/(G15/H15))+1*100,0)&gt;100,100,IFERROR((((E15/F15)-(G15/H15))/(G15/H15))+1*100,0))</f>
        <v>100</v>
      </c>
      <c r="M15" s="33">
        <f>((I15*0.2+J15*0.35+K15*0.3+L15*0.15))</f>
        <v>99.406000000000006</v>
      </c>
    </row>
    <row r="16" spans="1:13" ht="21" customHeight="1" x14ac:dyDescent="0.25">
      <c r="A16" s="70" t="s">
        <v>98</v>
      </c>
      <c r="B16" s="71"/>
      <c r="C16" s="71"/>
      <c r="D16" s="71"/>
      <c r="E16" s="71"/>
      <c r="F16" s="71"/>
      <c r="G16" s="71"/>
      <c r="H16" s="71"/>
      <c r="I16" s="37">
        <f>IFERROR(AVERAGE(I12:I15),0)</f>
        <v>97.289999999999992</v>
      </c>
      <c r="J16" s="37">
        <f t="shared" ref="J16:L16" si="7">IFERROR(AVERAGE(J12:J15),0)</f>
        <v>100</v>
      </c>
      <c r="K16" s="37">
        <f t="shared" si="7"/>
        <v>100</v>
      </c>
      <c r="L16" s="37">
        <f t="shared" si="7"/>
        <v>100</v>
      </c>
      <c r="M16" s="37">
        <f>IFERROR(AVERAGE(M12:M15),0)</f>
        <v>99.457999999999998</v>
      </c>
    </row>
    <row r="17" spans="1:13" ht="33" customHeight="1" x14ac:dyDescent="0.25">
      <c r="A17" s="18" t="s">
        <v>41</v>
      </c>
      <c r="B17" s="23" t="s">
        <v>42</v>
      </c>
      <c r="C17" s="18" t="s">
        <v>43</v>
      </c>
      <c r="D17" s="19" t="s">
        <v>44</v>
      </c>
      <c r="E17" s="10">
        <f>'Planejado 2024-1'!I17</f>
        <v>1300104</v>
      </c>
      <c r="F17" s="46">
        <f>'Planejado 2024-1'!J17</f>
        <v>85</v>
      </c>
      <c r="G17" s="10">
        <v>1549273.65</v>
      </c>
      <c r="H17" s="46">
        <v>96</v>
      </c>
      <c r="I17" s="32">
        <v>97.83</v>
      </c>
      <c r="J17" s="32">
        <f t="shared" ref="J17:J22" si="8">IF(IFERROR((H17/F17)*100,0)&gt;100,100,IFERROR((H17/F17)*100,0))</f>
        <v>100</v>
      </c>
      <c r="K17" s="32">
        <f>IF(IFERROR(((H17/G17)/(F17/E17))*100,0)&gt;100,100,IFERROR(((H17/G17)/(F17/E17))*100,0))</f>
        <v>94.776849328146568</v>
      </c>
      <c r="L17" s="32">
        <f>IF(IFERROR((((E17/F17)-(G17/H17))/(G17/H17))+1*100,0)&gt;100,100,IFERROR((((E17/F17)-(G17/H17))/(G17/H17))+1*100,0))</f>
        <v>99.947768493281473</v>
      </c>
      <c r="M17" s="33">
        <f t="shared" ref="M17:M22" si="9">((I17*0.2+J17*0.35+K17*0.3+L17*0.15))</f>
        <v>97.991220072436192</v>
      </c>
    </row>
    <row r="18" spans="1:13" ht="33" customHeight="1" x14ac:dyDescent="0.25">
      <c r="A18" s="72" t="s">
        <v>45</v>
      </c>
      <c r="B18" s="69" t="s">
        <v>46</v>
      </c>
      <c r="C18" s="18" t="s">
        <v>47</v>
      </c>
      <c r="D18" s="19" t="s">
        <v>48</v>
      </c>
      <c r="E18" s="67">
        <f>'Planejado 2024-1'!I18</f>
        <v>28309476</v>
      </c>
      <c r="F18" s="46">
        <f>'Planejado 2024-1'!J18</f>
        <v>146825</v>
      </c>
      <c r="G18" s="67">
        <v>16073196.960000001</v>
      </c>
      <c r="H18" s="46">
        <v>160044</v>
      </c>
      <c r="I18" s="32">
        <v>99.01</v>
      </c>
      <c r="J18" s="32">
        <f t="shared" si="8"/>
        <v>100</v>
      </c>
      <c r="K18" s="32">
        <f>IF(IFERROR(((H18/$G$18)/(F18/$E$18))*100,0)&gt;100,100,IFERROR(((H18/$G$18)/(F18/$E$18))*100,0))</f>
        <v>100</v>
      </c>
      <c r="L18" s="32">
        <f>IF(IFERROR(((($E$18/F18)-($G$18/H18))/($G$18/H18))+1*100,0)&gt;100,100,IFERROR(((($E$18/F18)-($G$18/H18))/($G$18/H18))+1*100,0))</f>
        <v>100</v>
      </c>
      <c r="M18" s="33">
        <f t="shared" si="9"/>
        <v>99.802000000000007</v>
      </c>
    </row>
    <row r="19" spans="1:13" ht="21" customHeight="1" x14ac:dyDescent="0.25">
      <c r="A19" s="72"/>
      <c r="B19" s="69"/>
      <c r="C19" s="18" t="s">
        <v>49</v>
      </c>
      <c r="D19" s="19" t="s">
        <v>50</v>
      </c>
      <c r="E19" s="68"/>
      <c r="F19" s="46">
        <f>'Planejado 2024-1'!J19</f>
        <v>360</v>
      </c>
      <c r="G19" s="68"/>
      <c r="H19" s="46">
        <v>662</v>
      </c>
      <c r="I19" s="32">
        <v>99.3</v>
      </c>
      <c r="J19" s="32">
        <f t="shared" si="8"/>
        <v>100</v>
      </c>
      <c r="K19" s="32">
        <f>IF(IFERROR(((H19/$G$18)/(F19/$E$18))*100,0)&gt;100,100,IFERROR(((H19/$G$18)/(F19/$E$18))*100,0))</f>
        <v>100</v>
      </c>
      <c r="L19" s="32">
        <f>IF(IFERROR(((($E$18/F19)-($G$18/H19))/($G$18/H19))+1*100,0)&gt;100,100,IFERROR(((($E$18/F19)-($G$18/H19))/($G$18/H19))+1*100,0))</f>
        <v>100</v>
      </c>
      <c r="M19" s="33">
        <f t="shared" si="9"/>
        <v>99.86</v>
      </c>
    </row>
    <row r="20" spans="1:13" ht="21" customHeight="1" x14ac:dyDescent="0.25">
      <c r="A20" s="18" t="s">
        <v>51</v>
      </c>
      <c r="B20" s="22" t="s">
        <v>52</v>
      </c>
      <c r="C20" s="18" t="s">
        <v>53</v>
      </c>
      <c r="D20" s="19" t="s">
        <v>54</v>
      </c>
      <c r="E20" s="10">
        <f>'Planejado 2024-1'!I20</f>
        <v>3294897</v>
      </c>
      <c r="F20" s="46">
        <f>'Planejado 2024-1'!J20</f>
        <v>2070</v>
      </c>
      <c r="G20" s="10">
        <v>1891401.4</v>
      </c>
      <c r="H20" s="46">
        <v>2631</v>
      </c>
      <c r="I20" s="32">
        <v>99.41</v>
      </c>
      <c r="J20" s="32">
        <f t="shared" si="8"/>
        <v>100</v>
      </c>
      <c r="K20" s="32">
        <f>IF(IFERROR(((H20/G20)/(F20/E20))*100,0)&gt;100,100,IFERROR(((H20/G20)/(F20/E20))*100,0))</f>
        <v>100</v>
      </c>
      <c r="L20" s="32">
        <f>IF(IFERROR((((E20/F20)-(G20/H20))/(G20/H20))+1*100,0)&gt;100,100,IFERROR((((E20/F20)-(G20/H20))/(G20/H20))+1*100,0))</f>
        <v>100</v>
      </c>
      <c r="M20" s="33">
        <f t="shared" si="9"/>
        <v>99.882000000000005</v>
      </c>
    </row>
    <row r="21" spans="1:13" ht="21" customHeight="1" x14ac:dyDescent="0.25">
      <c r="A21" s="18" t="s">
        <v>55</v>
      </c>
      <c r="B21" s="22" t="s">
        <v>56</v>
      </c>
      <c r="C21" s="18" t="s">
        <v>57</v>
      </c>
      <c r="D21" s="19" t="s">
        <v>58</v>
      </c>
      <c r="E21" s="10">
        <f>'Planejado 2024-1'!I21</f>
        <v>23978955</v>
      </c>
      <c r="F21" s="46">
        <f>'Planejado 2024-1'!J21</f>
        <v>2000755</v>
      </c>
      <c r="G21" s="10">
        <v>18233555.100000001</v>
      </c>
      <c r="H21" s="46">
        <v>1933213</v>
      </c>
      <c r="I21" s="32">
        <v>90.49</v>
      </c>
      <c r="J21" s="32">
        <f t="shared" si="8"/>
        <v>96.624174374173748</v>
      </c>
      <c r="K21" s="32">
        <f>IF(IFERROR(((H21/G21)/(F21/E21))*100,0)&gt;100,100,IFERROR(((H21/G21)/(F21/E21))*100,0))</f>
        <v>100</v>
      </c>
      <c r="L21" s="32">
        <f>IF(IFERROR((((E21/F21)-(G21/H21))/(G21/H21))+1*100,0)&gt;100,100,IFERROR((((E21/F21)-(G21/H21))/(G21/H21))+1*100,0))</f>
        <v>100</v>
      </c>
      <c r="M21" s="33">
        <f t="shared" si="9"/>
        <v>96.916461030960818</v>
      </c>
    </row>
    <row r="22" spans="1:13" ht="33" customHeight="1" x14ac:dyDescent="0.25">
      <c r="A22" s="18" t="s">
        <v>59</v>
      </c>
      <c r="B22" s="23" t="s">
        <v>60</v>
      </c>
      <c r="C22" s="18" t="s">
        <v>61</v>
      </c>
      <c r="D22" s="19" t="s">
        <v>62</v>
      </c>
      <c r="E22" s="10">
        <f>'Planejado 2024-1'!I22</f>
        <v>1046764</v>
      </c>
      <c r="F22" s="46">
        <f>'Planejado 2024-1'!J22</f>
        <v>300000</v>
      </c>
      <c r="G22" s="10">
        <v>1776407.73</v>
      </c>
      <c r="H22" s="46">
        <v>309353</v>
      </c>
      <c r="I22" s="32">
        <v>90.16</v>
      </c>
      <c r="J22" s="32">
        <f t="shared" si="8"/>
        <v>100</v>
      </c>
      <c r="K22" s="32">
        <f>IF(IFERROR(((H22/G22)/(F22/E22))*100,0)&gt;100,100,IFERROR(((H22/G22)/(F22/E22))*100,0))</f>
        <v>60.762999061407299</v>
      </c>
      <c r="L22" s="32">
        <f>IF(IFERROR((((E22/F22)-(G22/H22))/(G22/H22))+1*100,0)&gt;100,100,IFERROR((((E22/F22)-(G22/H22))/(G22/H22))+1*100,0))</f>
        <v>99.607629990614072</v>
      </c>
      <c r="M22" s="33">
        <f t="shared" si="9"/>
        <v>86.20204421701429</v>
      </c>
    </row>
    <row r="23" spans="1:13" ht="21" customHeight="1" x14ac:dyDescent="0.25">
      <c r="A23" s="70" t="s">
        <v>97</v>
      </c>
      <c r="B23" s="71"/>
      <c r="C23" s="71"/>
      <c r="D23" s="71"/>
      <c r="E23" s="71"/>
      <c r="F23" s="71"/>
      <c r="G23" s="71"/>
      <c r="H23" s="71"/>
      <c r="I23" s="37">
        <f>IFERROR(AVERAGE(I17:I22),0)</f>
        <v>96.033333333333317</v>
      </c>
      <c r="J23" s="37">
        <f t="shared" ref="J23:M23" si="10">IFERROR(AVERAGE(J17:J22),0)</f>
        <v>99.437362395695629</v>
      </c>
      <c r="K23" s="37">
        <f t="shared" si="10"/>
        <v>92.589974731592307</v>
      </c>
      <c r="L23" s="37">
        <f t="shared" si="10"/>
        <v>99.925899747315938</v>
      </c>
      <c r="M23" s="37">
        <f t="shared" si="10"/>
        <v>96.775620886735226</v>
      </c>
    </row>
    <row r="24" spans="1:13" ht="21" customHeight="1" x14ac:dyDescent="0.25">
      <c r="A24" s="72" t="s">
        <v>63</v>
      </c>
      <c r="B24" s="69" t="s">
        <v>64</v>
      </c>
      <c r="C24" s="24" t="s">
        <v>65</v>
      </c>
      <c r="D24" s="22" t="s">
        <v>66</v>
      </c>
      <c r="E24" s="67">
        <f>'Planejado 2024-1'!I24</f>
        <v>416759</v>
      </c>
      <c r="F24" s="46">
        <f>'Planejado 2024-1'!J24</f>
        <v>860</v>
      </c>
      <c r="G24" s="60">
        <v>355891.68</v>
      </c>
      <c r="H24" s="46">
        <v>1316</v>
      </c>
      <c r="I24" s="32">
        <v>98.24</v>
      </c>
      <c r="J24" s="32">
        <f>IF(IFERROR((H24/F24)*100,0)&gt;100,100,IFERROR((H24/F24)*100,0))</f>
        <v>100</v>
      </c>
      <c r="K24" s="32">
        <f>IF(IFERROR(((H24/$G$24)/(F24/$E$24))*100,0)&gt;100,100,IFERROR(((H24/$G$24)/(F24/$E$24))*100,0))</f>
        <v>100</v>
      </c>
      <c r="L24" s="32">
        <f>IF(IFERROR(((($E$24/F24)-($G$24/H24))/($G$24/H24))+1*100,0)&gt;100,100,IFERROR(((($E$24/F24)-($G$24/H24))/($G$24/H24))+1*100,0))</f>
        <v>100</v>
      </c>
      <c r="M24" s="33">
        <f>((I24*0.2+J24*0.35+K24*0.3+L24*0.15))</f>
        <v>99.647999999999996</v>
      </c>
    </row>
    <row r="25" spans="1:13" ht="21" customHeight="1" x14ac:dyDescent="0.25">
      <c r="A25" s="72"/>
      <c r="B25" s="69"/>
      <c r="C25" s="24" t="s">
        <v>67</v>
      </c>
      <c r="D25" s="22" t="s">
        <v>68</v>
      </c>
      <c r="E25" s="80"/>
      <c r="F25" s="46">
        <f>'Planejado 2024-1'!J25</f>
        <v>42</v>
      </c>
      <c r="G25" s="60"/>
      <c r="H25" s="46">
        <v>47</v>
      </c>
      <c r="I25" s="32">
        <v>100</v>
      </c>
      <c r="J25" s="32">
        <f t="shared" ref="J25:J26" si="11">IF(IFERROR((H25/F25)*100,0)&gt;100,100,IFERROR((H25/F25)*100,0))</f>
        <v>100</v>
      </c>
      <c r="K25" s="32">
        <f>IF(IFERROR(((H25/$G$24)/(F25/$E$24))*100,0)&gt;100,100,IFERROR(((H25/$G$24)/(F25/$E$24))*100,0))</f>
        <v>100</v>
      </c>
      <c r="L25" s="32">
        <f>IF(IFERROR(((($E$24/F25)-($G$24/H25))/($G$24/H25))+1*100,0)&gt;100,100,IFERROR(((($E$24/F25)-($G$24/H25))/($G$24/H25))+1*100,0))</f>
        <v>100</v>
      </c>
      <c r="M25" s="33">
        <f t="shared" ref="M25:M26" si="12">((I25*0.2+J25*0.35+K25*0.3+L25*0.15))</f>
        <v>100</v>
      </c>
    </row>
    <row r="26" spans="1:13" ht="21" customHeight="1" x14ac:dyDescent="0.25">
      <c r="A26" s="72"/>
      <c r="B26" s="69"/>
      <c r="C26" s="24" t="s">
        <v>69</v>
      </c>
      <c r="D26" s="22" t="s">
        <v>70</v>
      </c>
      <c r="E26" s="68"/>
      <c r="F26" s="46">
        <f>'Planejado 2024-1'!J26</f>
        <v>300</v>
      </c>
      <c r="G26" s="60"/>
      <c r="H26" s="46">
        <v>553</v>
      </c>
      <c r="I26" s="32">
        <v>97.79</v>
      </c>
      <c r="J26" s="32">
        <f t="shared" si="11"/>
        <v>100</v>
      </c>
      <c r="K26" s="32">
        <f>IF(IFERROR(((H26/$G$24)/(F26/$E$24))*100,0)&gt;100,100,IFERROR(((H26/$G$24)/(F26/$E$24))*100,0))</f>
        <v>100</v>
      </c>
      <c r="L26" s="32">
        <f>IF(IFERROR(((($E$24/F26)-($G$24/H26))/($G$24/H26))+1*100,0)&gt;100,100,IFERROR(((($E$24/F26)-($G$24/H26))/($G$24/H26))+1*100,0))</f>
        <v>100</v>
      </c>
      <c r="M26" s="33">
        <f t="shared" si="12"/>
        <v>99.558000000000007</v>
      </c>
    </row>
    <row r="27" spans="1:13" ht="21" customHeight="1" x14ac:dyDescent="0.25">
      <c r="A27" s="18" t="s">
        <v>71</v>
      </c>
      <c r="B27" s="25" t="s">
        <v>72</v>
      </c>
      <c r="C27" s="24" t="s">
        <v>73</v>
      </c>
      <c r="D27" s="22" t="s">
        <v>74</v>
      </c>
      <c r="E27" s="10">
        <f>'Planejado 2024-1'!I27</f>
        <v>1400574</v>
      </c>
      <c r="F27" s="46">
        <f>'Planejado 2024-1'!J27</f>
        <v>780</v>
      </c>
      <c r="G27" s="10">
        <v>1321124.3500000001</v>
      </c>
      <c r="H27" s="46">
        <v>851</v>
      </c>
      <c r="I27" s="32">
        <v>95.2</v>
      </c>
      <c r="J27" s="32">
        <f>IF(IFERROR((H27/F27)*100,0)&gt;100,100,IFERROR((H27/F27)*100,0))</f>
        <v>100</v>
      </c>
      <c r="K27" s="32">
        <f>IF(IFERROR(((H27/G27)/(F27/E27))*100,0)&gt;100,100,IFERROR(((H27/G27)/(F27/E27))*100,0))</f>
        <v>100</v>
      </c>
      <c r="L27" s="32">
        <f>IF(IFERROR((((E27/F27)-(G27/H27))/(G27/H27))+1*100,0)&gt;100,100,IFERROR((((E27/F27)-(G27/H27))/(G27/H27))+1*100,0))</f>
        <v>100</v>
      </c>
      <c r="M27" s="33">
        <f>((I27*0.2+J27*0.35+K27*0.3+L27*0.15))</f>
        <v>99.04</v>
      </c>
    </row>
    <row r="28" spans="1:13" ht="21" customHeight="1" x14ac:dyDescent="0.25">
      <c r="A28" s="72" t="s">
        <v>75</v>
      </c>
      <c r="B28" s="69" t="s">
        <v>76</v>
      </c>
      <c r="C28" s="24" t="s">
        <v>77</v>
      </c>
      <c r="D28" s="19" t="s">
        <v>78</v>
      </c>
      <c r="E28" s="67">
        <f>'Planejado 2024-1'!I28</f>
        <v>1149309</v>
      </c>
      <c r="F28" s="46">
        <f>'Planejado 2024-1'!J28</f>
        <v>400000</v>
      </c>
      <c r="G28" s="67">
        <v>1209741.94</v>
      </c>
      <c r="H28" s="46">
        <v>430000</v>
      </c>
      <c r="I28" s="32">
        <v>93.6</v>
      </c>
      <c r="J28" s="32">
        <f>IF(IFERROR((H28/F28)*100,0)&gt;100,100,IFERROR((H28/F28)*100,0))</f>
        <v>100</v>
      </c>
      <c r="K28" s="32">
        <f>IF(IFERROR(((H28/$G$28)/(F28/$E$28))*100,0)&gt;100,100,IFERROR(((H28/$G$28)/(F28/$E$28))*100,0))</f>
        <v>100</v>
      </c>
      <c r="L28" s="32">
        <f>IF(IFERROR((((E28/F28)-(G28/H28))/(G28/H28))+1*100,0)&gt;100,100,IFERROR((((E28/F28)-(G28/H28))/(G28/H28))+1*100,0))</f>
        <v>100</v>
      </c>
      <c r="M28" s="33">
        <f>((I28*0.2+J28*0.35+K28*0.3+L28*0.15))</f>
        <v>98.72</v>
      </c>
    </row>
    <row r="29" spans="1:13" ht="21" customHeight="1" x14ac:dyDescent="0.25">
      <c r="A29" s="72"/>
      <c r="B29" s="69"/>
      <c r="C29" s="24" t="s">
        <v>79</v>
      </c>
      <c r="D29" s="19" t="s">
        <v>80</v>
      </c>
      <c r="E29" s="68"/>
      <c r="F29" s="46">
        <f>'Planejado 2024-1'!J29</f>
        <v>0</v>
      </c>
      <c r="G29" s="68"/>
      <c r="H29" s="46">
        <v>0</v>
      </c>
      <c r="I29" s="32"/>
      <c r="J29" s="32">
        <f>IF(IFERROR((H29/F29)*100,0)&gt;100,100,IFERROR((H29/F29)*100,0))</f>
        <v>0</v>
      </c>
      <c r="K29" s="32">
        <f>IF(IFERROR(((H29/$G$28)/(F29/$E$28))*100,0)&gt;100,100,IFERROR(((H29/$G$28)/(F29/$E$28))*100,0))</f>
        <v>0</v>
      </c>
      <c r="L29" s="32">
        <f>IF(IFERROR(((($E$28/F29)-($G$28/H29))/($G$28/H29))+1*100,0)&gt;100,100,IFERROR(((($E$28/F29)-($G$28/H29))/($G$28/H29))+1*100,0))</f>
        <v>0</v>
      </c>
      <c r="M29" s="33">
        <f>((I29*0.2+J29*0.35+K29*0.3+L29*0.15))</f>
        <v>0</v>
      </c>
    </row>
    <row r="30" spans="1:13" ht="21" customHeight="1" x14ac:dyDescent="0.25">
      <c r="A30" s="72" t="s">
        <v>81</v>
      </c>
      <c r="B30" s="69" t="s">
        <v>147</v>
      </c>
      <c r="C30" s="24" t="s">
        <v>82</v>
      </c>
      <c r="D30" s="19" t="s">
        <v>83</v>
      </c>
      <c r="E30" s="67">
        <f>'Planejado 2024-1'!I30</f>
        <v>185000</v>
      </c>
      <c r="F30" s="46">
        <f>'Planejado 2024-1'!J30</f>
        <v>0</v>
      </c>
      <c r="G30" s="67">
        <v>32020.74</v>
      </c>
      <c r="H30" s="46">
        <v>0</v>
      </c>
      <c r="I30" s="32"/>
      <c r="J30" s="32">
        <f>IF(IFERROR((H30/F30)*100,0)&gt;100,100,IFERROR((H30/F30)*100,0))</f>
        <v>0</v>
      </c>
      <c r="K30" s="32">
        <f>IF(IFERROR(((H30/$G$30)/(F30/$E$30))*100,0)&gt;100,100,IFERROR(((H30/$G$30)/(F30/$E$30))*100,0))</f>
        <v>0</v>
      </c>
      <c r="L30" s="32">
        <f>IF(IFERROR(((($E$30/F30)-($G$30/H30))/($G$30/H30))+1*100,0)&gt;100,100,IFERROR(((($E$30/F30)-($G$30/H30))/($G$30/H30))+1*100,0))</f>
        <v>0</v>
      </c>
      <c r="M30" s="33">
        <f>((I30*0.2+J30*0.35+K30*0.3+L30*0.15))</f>
        <v>0</v>
      </c>
    </row>
    <row r="31" spans="1:13" ht="21" customHeight="1" x14ac:dyDescent="0.25">
      <c r="A31" s="72"/>
      <c r="B31" s="69"/>
      <c r="C31" s="24" t="s">
        <v>84</v>
      </c>
      <c r="D31" s="19" t="s">
        <v>85</v>
      </c>
      <c r="E31" s="68"/>
      <c r="F31" s="46">
        <f>'Planejado 2024-1'!J31</f>
        <v>0</v>
      </c>
      <c r="G31" s="68"/>
      <c r="H31" s="46">
        <v>0</v>
      </c>
      <c r="I31" s="32"/>
      <c r="J31" s="32">
        <f>IF(IFERROR((H31/F31)*100,0)&gt;100,100,IFERROR((H31/F31)*100,0))</f>
        <v>0</v>
      </c>
      <c r="K31" s="32">
        <f>IF(IFERROR(((H31/$G$30)/(F31/$E$30))*100,0)&gt;100,100,IFERROR(((H31/$G$30)/(F31/$E$30))*100,0))</f>
        <v>0</v>
      </c>
      <c r="L31" s="32">
        <f>IF(IFERROR(((($E$30/F31)-($G$30/H31))/($G$30/H31))+1*100,0)&gt;100,100,IFERROR(((($E$30/F31)-($G$30/H31))/($G$30/H31))+1*100,0))</f>
        <v>0</v>
      </c>
      <c r="M31" s="33">
        <f>((I31*0.2+J31*0.35+K31*0.3+L31*0.15))</f>
        <v>0</v>
      </c>
    </row>
    <row r="32" spans="1:13" ht="21" customHeight="1" x14ac:dyDescent="0.25">
      <c r="A32" s="70" t="s">
        <v>96</v>
      </c>
      <c r="B32" s="71"/>
      <c r="C32" s="71"/>
      <c r="D32" s="71"/>
      <c r="E32" s="71"/>
      <c r="F32" s="71"/>
      <c r="G32" s="71"/>
      <c r="H32" s="71"/>
      <c r="I32" s="37">
        <f>IFERROR(SUMIF(I24:I31,"&gt;0")/COUNTIF(I24:I31,"&gt;0"),0)</f>
        <v>96.966000000000008</v>
      </c>
      <c r="J32" s="37">
        <f t="shared" ref="J32:M32" si="13">IFERROR(SUMIF(J24:J31,"&gt;0")/COUNTIF(J24:J31,"&gt;0"),0)</f>
        <v>100</v>
      </c>
      <c r="K32" s="37">
        <f t="shared" si="13"/>
        <v>100</v>
      </c>
      <c r="L32" s="37">
        <f t="shared" si="13"/>
        <v>100</v>
      </c>
      <c r="M32" s="37">
        <f t="shared" si="13"/>
        <v>99.393200000000007</v>
      </c>
    </row>
    <row r="33" spans="1:13" ht="21" customHeight="1" x14ac:dyDescent="0.25">
      <c r="A33" s="62" t="s">
        <v>95</v>
      </c>
      <c r="B33" s="62"/>
      <c r="C33" s="62"/>
      <c r="D33" s="62"/>
      <c r="E33" s="62"/>
      <c r="F33" s="62"/>
      <c r="G33" s="62"/>
      <c r="H33" s="62"/>
      <c r="I33" s="37">
        <f>IF(AVERAGE(I32,I23,I16,I11)&gt;100,100,AVERAGE(I32,I23,I16,I11))</f>
        <v>96.36358333333331</v>
      </c>
      <c r="J33" s="37">
        <f t="shared" ref="J33:M33" si="14">IF(AVERAGE(J32,J23,J16,J11)&gt;100,100,AVERAGE(J32,J23,J16,J11))</f>
        <v>99.08859495032732</v>
      </c>
      <c r="K33" s="37">
        <f t="shared" si="14"/>
        <v>97.685984717878398</v>
      </c>
      <c r="L33" s="37">
        <f t="shared" si="14"/>
        <v>99.976859847178787</v>
      </c>
      <c r="M33" s="37">
        <f t="shared" si="14"/>
        <v>98.256049291721581</v>
      </c>
    </row>
    <row r="34" spans="1:13" s="51" customFormat="1" ht="21" customHeight="1" x14ac:dyDescent="0.25">
      <c r="A34" s="54"/>
      <c r="B34" s="55"/>
      <c r="C34" s="55"/>
      <c r="E34" s="56"/>
      <c r="F34" s="52"/>
      <c r="G34" s="56"/>
      <c r="H34" s="52"/>
      <c r="I34" s="52"/>
      <c r="J34" s="52"/>
      <c r="K34" s="52"/>
      <c r="L34" s="52"/>
      <c r="M34" s="52"/>
    </row>
    <row r="35" spans="1:13" ht="21" customHeight="1" x14ac:dyDescent="0.25">
      <c r="A35" s="62" t="s">
        <v>101</v>
      </c>
      <c r="B35" s="62"/>
      <c r="C35" s="62"/>
      <c r="D35" s="62"/>
      <c r="E35" s="9">
        <f>SUM(E24:E31,E17:E22,E12:E15,E3:E10)</f>
        <v>155264416.74000001</v>
      </c>
      <c r="F35" s="47">
        <f t="shared" ref="F35:H35" si="15">SUM(F24:F31,F17:F22,F12:F15,F3:F10)</f>
        <v>2953615</v>
      </c>
      <c r="G35" s="9">
        <f t="shared" si="15"/>
        <v>129396267.13</v>
      </c>
      <c r="H35" s="47">
        <f t="shared" si="15"/>
        <v>2947730</v>
      </c>
      <c r="I35" s="52"/>
      <c r="J35" s="52"/>
      <c r="K35" s="52"/>
      <c r="L35" s="52"/>
      <c r="M35" s="52"/>
    </row>
    <row r="36" spans="1:13" s="51" customFormat="1" ht="21" customHeight="1" x14ac:dyDescent="0.25">
      <c r="A36" s="54"/>
      <c r="B36" s="55"/>
      <c r="C36" s="55"/>
      <c r="E36" s="56"/>
      <c r="F36" s="52"/>
      <c r="G36" s="56"/>
      <c r="H36" s="52"/>
      <c r="I36" s="52"/>
      <c r="J36" s="52"/>
      <c r="K36" s="52"/>
      <c r="L36" s="52"/>
      <c r="M36" s="52"/>
    </row>
    <row r="37" spans="1:13" s="52" customFormat="1" ht="21" customHeight="1" x14ac:dyDescent="0.25">
      <c r="A37" s="54"/>
      <c r="B37" s="55"/>
      <c r="C37" s="55"/>
      <c r="D37" s="51"/>
      <c r="E37" s="56"/>
      <c r="G37" s="56"/>
    </row>
    <row r="38" spans="1:13" s="52" customFormat="1" ht="21" customHeight="1" x14ac:dyDescent="0.25">
      <c r="A38" s="77" t="s">
        <v>144</v>
      </c>
      <c r="B38" s="78"/>
      <c r="C38" s="78"/>
      <c r="D38" s="78"/>
      <c r="E38" s="78"/>
      <c r="F38" s="78"/>
      <c r="G38" s="78"/>
      <c r="H38" s="79"/>
    </row>
    <row r="39" spans="1:13" s="52" customFormat="1" ht="39.75" customHeight="1" x14ac:dyDescent="0.25">
      <c r="A39" s="74" t="s">
        <v>151</v>
      </c>
      <c r="B39" s="75"/>
      <c r="C39" s="75"/>
      <c r="D39" s="75"/>
      <c r="E39" s="75"/>
      <c r="F39" s="75"/>
      <c r="G39" s="75"/>
      <c r="H39" s="76"/>
    </row>
    <row r="40" spans="1:13" s="52" customFormat="1" ht="39.75" customHeight="1" x14ac:dyDescent="0.25">
      <c r="A40" s="74" t="s">
        <v>150</v>
      </c>
      <c r="B40" s="75"/>
      <c r="C40" s="75"/>
      <c r="D40" s="75"/>
      <c r="E40" s="75"/>
      <c r="F40" s="75"/>
      <c r="G40" s="75"/>
      <c r="H40" s="76"/>
    </row>
    <row r="41" spans="1:13" s="52" customFormat="1" ht="36" customHeight="1" x14ac:dyDescent="0.25">
      <c r="A41" s="74" t="s">
        <v>149</v>
      </c>
      <c r="B41" s="75"/>
      <c r="C41" s="75"/>
      <c r="D41" s="75"/>
      <c r="E41" s="75"/>
      <c r="F41" s="75"/>
      <c r="G41" s="75"/>
      <c r="H41" s="76"/>
    </row>
    <row r="42" spans="1:13" s="52" customFormat="1" ht="21" customHeight="1" x14ac:dyDescent="0.25">
      <c r="A42" s="54"/>
      <c r="B42" s="55"/>
      <c r="C42" s="55"/>
      <c r="D42" s="51"/>
      <c r="E42" s="56"/>
      <c r="G42" s="56"/>
    </row>
    <row r="43" spans="1:13" s="52" customFormat="1" ht="21" customHeight="1" x14ac:dyDescent="0.25">
      <c r="A43" s="54"/>
      <c r="B43" s="55"/>
      <c r="C43" s="55"/>
      <c r="D43" s="51"/>
      <c r="E43" s="56"/>
      <c r="G43" s="56"/>
    </row>
    <row r="44" spans="1:13" s="51" customFormat="1" x14ac:dyDescent="0.25">
      <c r="A44" s="54"/>
      <c r="B44" s="55"/>
      <c r="C44" s="55"/>
      <c r="E44" s="56"/>
      <c r="F44" s="52"/>
      <c r="G44" s="56"/>
      <c r="H44" s="52"/>
      <c r="I44" s="52"/>
      <c r="J44" s="52"/>
      <c r="K44" s="52"/>
      <c r="L44" s="52"/>
      <c r="M44" s="52"/>
    </row>
    <row r="45" spans="1:13" s="51" customFormat="1" x14ac:dyDescent="0.25">
      <c r="A45" s="54"/>
      <c r="B45" s="55"/>
      <c r="C45" s="55"/>
      <c r="E45" s="56"/>
      <c r="F45" s="52"/>
      <c r="G45" s="56"/>
      <c r="H45" s="52"/>
      <c r="I45" s="52"/>
      <c r="J45" s="52"/>
      <c r="K45" s="52"/>
      <c r="L45" s="52"/>
      <c r="M45" s="52"/>
    </row>
    <row r="46" spans="1:13" s="51" customFormat="1" x14ac:dyDescent="0.25">
      <c r="A46" s="54"/>
      <c r="B46" s="55"/>
      <c r="C46" s="55"/>
      <c r="E46" s="56"/>
      <c r="F46" s="52"/>
      <c r="G46" s="56"/>
      <c r="H46" s="52"/>
      <c r="I46" s="52"/>
      <c r="J46" s="52"/>
      <c r="K46" s="52"/>
      <c r="L46" s="52"/>
      <c r="M46" s="52"/>
    </row>
    <row r="47" spans="1:13" s="51" customFormat="1" x14ac:dyDescent="0.25">
      <c r="A47" s="54"/>
      <c r="B47" s="55"/>
      <c r="C47" s="55"/>
      <c r="E47" s="56"/>
      <c r="F47" s="52"/>
      <c r="G47" s="56"/>
      <c r="H47" s="52"/>
      <c r="I47" s="52"/>
      <c r="J47" s="52"/>
      <c r="K47" s="52"/>
      <c r="L47" s="52"/>
      <c r="M47" s="52"/>
    </row>
    <row r="48" spans="1:13" s="51" customFormat="1" x14ac:dyDescent="0.25">
      <c r="A48" s="54"/>
      <c r="B48" s="55"/>
      <c r="C48" s="55"/>
      <c r="E48" s="56"/>
      <c r="F48" s="52"/>
      <c r="G48" s="56"/>
      <c r="H48" s="52"/>
      <c r="I48" s="52"/>
      <c r="J48" s="52"/>
      <c r="K48" s="52"/>
      <c r="L48" s="52"/>
      <c r="M48" s="52"/>
    </row>
    <row r="49" spans="1:13" s="51" customFormat="1" x14ac:dyDescent="0.25">
      <c r="A49" s="54"/>
      <c r="B49" s="55"/>
      <c r="C49" s="55"/>
      <c r="E49" s="56"/>
      <c r="F49" s="52"/>
      <c r="G49" s="56"/>
      <c r="H49" s="52"/>
      <c r="I49" s="52"/>
      <c r="J49" s="52"/>
      <c r="K49" s="52"/>
      <c r="L49" s="52"/>
      <c r="M49" s="52"/>
    </row>
    <row r="50" spans="1:13" s="51" customFormat="1" x14ac:dyDescent="0.25">
      <c r="A50" s="54"/>
      <c r="B50" s="55"/>
      <c r="C50" s="55"/>
      <c r="E50" s="56"/>
      <c r="F50" s="52"/>
      <c r="G50" s="56"/>
      <c r="H50" s="52"/>
      <c r="I50" s="52"/>
      <c r="J50" s="52"/>
      <c r="K50" s="52"/>
      <c r="L50" s="52"/>
      <c r="M50" s="52"/>
    </row>
    <row r="51" spans="1:13" s="51" customFormat="1" x14ac:dyDescent="0.25">
      <c r="A51" s="54"/>
      <c r="B51" s="55"/>
      <c r="C51" s="55"/>
      <c r="E51" s="56"/>
      <c r="F51" s="52"/>
      <c r="G51" s="56"/>
      <c r="H51" s="52"/>
      <c r="I51" s="52"/>
      <c r="J51" s="52"/>
      <c r="K51" s="52"/>
      <c r="L51" s="52"/>
      <c r="M51" s="52"/>
    </row>
    <row r="52" spans="1:13" s="51" customFormat="1" x14ac:dyDescent="0.25">
      <c r="A52" s="54"/>
      <c r="B52" s="55"/>
      <c r="C52" s="55"/>
      <c r="E52" s="56"/>
      <c r="F52" s="52"/>
      <c r="G52" s="56"/>
      <c r="H52" s="52"/>
      <c r="I52" s="52"/>
      <c r="J52" s="52"/>
      <c r="K52" s="52"/>
      <c r="L52" s="52"/>
      <c r="M52" s="52"/>
    </row>
    <row r="53" spans="1:13" s="51" customFormat="1" x14ac:dyDescent="0.25">
      <c r="A53" s="54"/>
      <c r="B53" s="55"/>
      <c r="C53" s="55"/>
      <c r="E53" s="56"/>
      <c r="F53" s="52"/>
      <c r="G53" s="56"/>
      <c r="H53" s="52"/>
      <c r="I53" s="52"/>
      <c r="J53" s="52"/>
      <c r="K53" s="52"/>
      <c r="L53" s="52"/>
      <c r="M53" s="52"/>
    </row>
    <row r="54" spans="1:13" s="51" customFormat="1" x14ac:dyDescent="0.25">
      <c r="A54" s="54"/>
      <c r="B54" s="55"/>
      <c r="C54" s="55"/>
      <c r="E54" s="56"/>
      <c r="F54" s="52"/>
      <c r="G54" s="56"/>
      <c r="H54" s="52"/>
      <c r="I54" s="52"/>
      <c r="J54" s="52"/>
      <c r="K54" s="52"/>
      <c r="L54" s="52"/>
      <c r="M54" s="52"/>
    </row>
    <row r="55" spans="1:13" s="51" customFormat="1" x14ac:dyDescent="0.25">
      <c r="A55" s="54"/>
      <c r="B55" s="55"/>
      <c r="C55" s="55"/>
      <c r="E55" s="56"/>
      <c r="F55" s="52"/>
      <c r="G55" s="56"/>
      <c r="H55" s="52"/>
      <c r="I55" s="52"/>
      <c r="J55" s="52"/>
      <c r="K55" s="52"/>
      <c r="L55" s="52"/>
      <c r="M55" s="52"/>
    </row>
    <row r="56" spans="1:13" s="51" customFormat="1" x14ac:dyDescent="0.25">
      <c r="A56" s="54"/>
      <c r="B56" s="55"/>
      <c r="C56" s="55"/>
      <c r="E56" s="56"/>
      <c r="F56" s="52"/>
      <c r="G56" s="56"/>
      <c r="H56" s="52"/>
      <c r="I56" s="52"/>
      <c r="J56" s="52"/>
      <c r="K56" s="52"/>
      <c r="L56" s="52"/>
      <c r="M56" s="52"/>
    </row>
    <row r="57" spans="1:13" s="51" customFormat="1" x14ac:dyDescent="0.25">
      <c r="A57" s="54"/>
      <c r="B57" s="55"/>
      <c r="C57" s="55"/>
      <c r="E57" s="56"/>
      <c r="F57" s="52"/>
      <c r="G57" s="56"/>
      <c r="H57" s="52"/>
      <c r="I57" s="52"/>
      <c r="J57" s="52"/>
      <c r="K57" s="52"/>
      <c r="L57" s="52"/>
      <c r="M57" s="52"/>
    </row>
    <row r="58" spans="1:13" s="51" customFormat="1" x14ac:dyDescent="0.25">
      <c r="A58" s="54"/>
      <c r="B58" s="55"/>
      <c r="C58" s="55"/>
      <c r="E58" s="56"/>
      <c r="F58" s="52"/>
      <c r="G58" s="56"/>
      <c r="H58" s="52"/>
      <c r="I58" s="52"/>
      <c r="J58" s="52"/>
      <c r="K58" s="52"/>
      <c r="L58" s="52"/>
      <c r="M58" s="52"/>
    </row>
    <row r="59" spans="1:13" s="51" customFormat="1" x14ac:dyDescent="0.25">
      <c r="A59" s="54"/>
      <c r="B59" s="55"/>
      <c r="C59" s="55"/>
      <c r="E59" s="56"/>
      <c r="F59" s="52"/>
      <c r="G59" s="56"/>
      <c r="H59" s="52"/>
      <c r="I59" s="52"/>
      <c r="J59" s="52"/>
      <c r="K59" s="52"/>
      <c r="L59" s="52"/>
      <c r="M59" s="52"/>
    </row>
    <row r="60" spans="1:13" s="51" customFormat="1" x14ac:dyDescent="0.25">
      <c r="A60" s="54"/>
      <c r="B60" s="55"/>
      <c r="C60" s="55"/>
      <c r="E60" s="56"/>
      <c r="F60" s="52"/>
      <c r="G60" s="56"/>
      <c r="H60" s="52"/>
      <c r="I60" s="52"/>
      <c r="J60" s="52"/>
      <c r="K60" s="52"/>
      <c r="L60" s="52"/>
      <c r="M60" s="52"/>
    </row>
    <row r="61" spans="1:13" s="51" customFormat="1" x14ac:dyDescent="0.25">
      <c r="A61" s="54"/>
      <c r="B61" s="55"/>
      <c r="C61" s="55"/>
      <c r="E61" s="56"/>
      <c r="F61" s="52"/>
      <c r="G61" s="56"/>
      <c r="H61" s="52"/>
      <c r="I61" s="52"/>
      <c r="J61" s="52"/>
      <c r="K61" s="52"/>
      <c r="L61" s="52"/>
      <c r="M61" s="52"/>
    </row>
    <row r="62" spans="1:13" s="51" customFormat="1" x14ac:dyDescent="0.25">
      <c r="A62" s="54"/>
      <c r="B62" s="55"/>
      <c r="C62" s="55"/>
      <c r="E62" s="56"/>
      <c r="F62" s="52"/>
      <c r="G62" s="56"/>
      <c r="H62" s="52"/>
      <c r="I62" s="52"/>
      <c r="J62" s="52"/>
      <c r="K62" s="52"/>
      <c r="L62" s="52"/>
      <c r="M62" s="52"/>
    </row>
    <row r="63" spans="1:13" s="51" customFormat="1" x14ac:dyDescent="0.25">
      <c r="A63" s="54"/>
      <c r="B63" s="55"/>
      <c r="C63" s="55"/>
      <c r="E63" s="56"/>
      <c r="F63" s="52"/>
      <c r="G63" s="56"/>
      <c r="H63" s="52"/>
      <c r="I63" s="52"/>
      <c r="J63" s="52"/>
      <c r="K63" s="52"/>
      <c r="L63" s="52"/>
      <c r="M63" s="52"/>
    </row>
    <row r="64" spans="1:13" s="51" customFormat="1" x14ac:dyDescent="0.25">
      <c r="A64" s="54"/>
      <c r="B64" s="55"/>
      <c r="C64" s="55"/>
      <c r="E64" s="56"/>
      <c r="F64" s="52"/>
      <c r="G64" s="56"/>
      <c r="H64" s="52"/>
      <c r="I64" s="52"/>
      <c r="J64" s="52"/>
      <c r="K64" s="52"/>
      <c r="L64" s="52"/>
      <c r="M64" s="52"/>
    </row>
    <row r="65" spans="1:13" s="51" customFormat="1" x14ac:dyDescent="0.25">
      <c r="A65" s="54"/>
      <c r="B65" s="55"/>
      <c r="C65" s="55"/>
      <c r="E65" s="56"/>
      <c r="F65" s="52"/>
      <c r="G65" s="56"/>
      <c r="H65" s="52"/>
      <c r="I65" s="52"/>
      <c r="J65" s="52"/>
      <c r="K65" s="52"/>
      <c r="L65" s="52"/>
      <c r="M65" s="52"/>
    </row>
    <row r="66" spans="1:13" s="51" customFormat="1" x14ac:dyDescent="0.25">
      <c r="A66" s="54"/>
      <c r="B66" s="55"/>
      <c r="C66" s="55"/>
      <c r="E66" s="56"/>
      <c r="F66" s="52"/>
      <c r="G66" s="56"/>
      <c r="H66" s="52"/>
      <c r="I66" s="52"/>
      <c r="J66" s="52"/>
      <c r="K66" s="52"/>
      <c r="L66" s="52"/>
      <c r="M66" s="52"/>
    </row>
    <row r="67" spans="1:13" s="51" customFormat="1" x14ac:dyDescent="0.25">
      <c r="A67" s="54"/>
      <c r="B67" s="55"/>
      <c r="C67" s="55"/>
      <c r="E67" s="56"/>
      <c r="F67" s="52"/>
      <c r="G67" s="56"/>
      <c r="H67" s="52"/>
      <c r="I67" s="52"/>
      <c r="J67" s="52"/>
      <c r="K67" s="52"/>
      <c r="L67" s="52"/>
      <c r="M67" s="52"/>
    </row>
    <row r="68" spans="1:13" s="51" customFormat="1" x14ac:dyDescent="0.25">
      <c r="A68" s="54"/>
      <c r="B68" s="55"/>
      <c r="C68" s="55"/>
      <c r="E68" s="56"/>
      <c r="F68" s="52"/>
      <c r="G68" s="56"/>
      <c r="H68" s="52"/>
      <c r="I68" s="52"/>
      <c r="J68" s="52"/>
      <c r="K68" s="52"/>
      <c r="L68" s="52"/>
      <c r="M68" s="52"/>
    </row>
    <row r="69" spans="1:13" s="51" customFormat="1" x14ac:dyDescent="0.25">
      <c r="A69" s="54"/>
      <c r="B69" s="55"/>
      <c r="C69" s="55"/>
      <c r="E69" s="56"/>
      <c r="F69" s="52"/>
      <c r="G69" s="56"/>
      <c r="H69" s="52"/>
      <c r="I69" s="52"/>
      <c r="J69" s="52"/>
      <c r="K69" s="52"/>
      <c r="L69" s="52"/>
      <c r="M69" s="52"/>
    </row>
    <row r="70" spans="1:13" s="51" customFormat="1" x14ac:dyDescent="0.25">
      <c r="A70" s="54"/>
      <c r="B70" s="55"/>
      <c r="C70" s="55"/>
      <c r="E70" s="56"/>
      <c r="F70" s="52"/>
      <c r="G70" s="56"/>
      <c r="H70" s="52"/>
      <c r="I70" s="52"/>
      <c r="J70" s="52"/>
      <c r="K70" s="52"/>
      <c r="L70" s="52"/>
      <c r="M70" s="52"/>
    </row>
    <row r="71" spans="1:13" s="51" customFormat="1" x14ac:dyDescent="0.25">
      <c r="A71" s="54"/>
      <c r="B71" s="55"/>
      <c r="C71" s="55"/>
      <c r="E71" s="56"/>
      <c r="F71" s="52"/>
      <c r="G71" s="56"/>
      <c r="H71" s="52"/>
      <c r="I71" s="52"/>
      <c r="J71" s="52"/>
      <c r="K71" s="52"/>
      <c r="L71" s="52"/>
      <c r="M71" s="52"/>
    </row>
    <row r="72" spans="1:13" s="51" customFormat="1" x14ac:dyDescent="0.25">
      <c r="A72" s="54"/>
      <c r="B72" s="55"/>
      <c r="C72" s="55"/>
      <c r="E72" s="56"/>
      <c r="F72" s="52"/>
      <c r="G72" s="56"/>
      <c r="H72" s="52"/>
      <c r="I72" s="52"/>
      <c r="J72" s="52"/>
      <c r="K72" s="52"/>
      <c r="L72" s="52"/>
      <c r="M72" s="52"/>
    </row>
    <row r="73" spans="1:13" s="51" customFormat="1" x14ac:dyDescent="0.25">
      <c r="A73" s="54"/>
      <c r="B73" s="55"/>
      <c r="C73" s="55"/>
      <c r="E73" s="56"/>
      <c r="F73" s="52"/>
      <c r="G73" s="56"/>
      <c r="H73" s="52"/>
      <c r="I73" s="52"/>
      <c r="J73" s="52"/>
      <c r="K73" s="52"/>
      <c r="L73" s="52"/>
      <c r="M73" s="52"/>
    </row>
    <row r="74" spans="1:13" s="51" customFormat="1" x14ac:dyDescent="0.25">
      <c r="A74" s="54"/>
      <c r="B74" s="55"/>
      <c r="C74" s="55"/>
      <c r="E74" s="56"/>
      <c r="F74" s="52"/>
      <c r="G74" s="56"/>
      <c r="H74" s="52"/>
      <c r="I74" s="52"/>
      <c r="J74" s="52"/>
      <c r="K74" s="52"/>
      <c r="L74" s="52"/>
      <c r="M74" s="52"/>
    </row>
    <row r="75" spans="1:13" s="51" customFormat="1" x14ac:dyDescent="0.25">
      <c r="A75" s="54"/>
      <c r="B75" s="55"/>
      <c r="C75" s="55"/>
      <c r="E75" s="56"/>
      <c r="F75" s="52"/>
      <c r="G75" s="56"/>
      <c r="H75" s="52"/>
      <c r="I75" s="52"/>
      <c r="J75" s="52"/>
      <c r="K75" s="52"/>
      <c r="L75" s="52"/>
      <c r="M75" s="52"/>
    </row>
    <row r="76" spans="1:13" s="51" customFormat="1" x14ac:dyDescent="0.25">
      <c r="A76" s="54"/>
      <c r="B76" s="55"/>
      <c r="C76" s="55"/>
      <c r="E76" s="56"/>
      <c r="F76" s="52"/>
      <c r="G76" s="56"/>
      <c r="H76" s="52"/>
      <c r="I76" s="52"/>
      <c r="J76" s="52"/>
      <c r="K76" s="52"/>
      <c r="L76" s="52"/>
      <c r="M76" s="52"/>
    </row>
    <row r="77" spans="1:13" s="51" customFormat="1" x14ac:dyDescent="0.25">
      <c r="A77" s="54"/>
      <c r="B77" s="55"/>
      <c r="C77" s="55"/>
      <c r="E77" s="56"/>
      <c r="F77" s="52"/>
      <c r="G77" s="56"/>
      <c r="H77" s="52"/>
      <c r="I77" s="52"/>
      <c r="J77" s="52"/>
      <c r="K77" s="52"/>
      <c r="L77" s="52"/>
      <c r="M77" s="52"/>
    </row>
    <row r="78" spans="1:13" s="51" customFormat="1" x14ac:dyDescent="0.25">
      <c r="A78" s="54"/>
      <c r="B78" s="55"/>
      <c r="C78" s="55"/>
      <c r="E78" s="56"/>
      <c r="F78" s="52"/>
      <c r="G78" s="56"/>
      <c r="H78" s="52"/>
      <c r="I78" s="52"/>
      <c r="J78" s="52"/>
      <c r="K78" s="52"/>
      <c r="L78" s="52"/>
      <c r="M78" s="52"/>
    </row>
    <row r="79" spans="1:13" s="51" customFormat="1" x14ac:dyDescent="0.25">
      <c r="A79" s="54"/>
      <c r="B79" s="55"/>
      <c r="C79" s="55"/>
      <c r="E79" s="56"/>
      <c r="F79" s="52"/>
      <c r="G79" s="56"/>
      <c r="H79" s="52"/>
      <c r="I79" s="52"/>
      <c r="J79" s="52"/>
      <c r="K79" s="52"/>
      <c r="L79" s="52"/>
      <c r="M79" s="52"/>
    </row>
    <row r="80" spans="1:13" s="51" customFormat="1" x14ac:dyDescent="0.25">
      <c r="A80" s="54"/>
      <c r="B80" s="55"/>
      <c r="C80" s="55"/>
      <c r="E80" s="56"/>
      <c r="F80" s="52"/>
      <c r="G80" s="56"/>
      <c r="H80" s="52"/>
      <c r="I80" s="52"/>
      <c r="J80" s="52"/>
      <c r="K80" s="52"/>
      <c r="L80" s="52"/>
      <c r="M80" s="52"/>
    </row>
    <row r="81" spans="1:13" s="51" customFormat="1" x14ac:dyDescent="0.25">
      <c r="A81" s="54"/>
      <c r="B81" s="55"/>
      <c r="C81" s="55"/>
      <c r="E81" s="56"/>
      <c r="F81" s="52"/>
      <c r="G81" s="56"/>
      <c r="H81" s="52"/>
      <c r="I81" s="52"/>
      <c r="J81" s="52"/>
      <c r="K81" s="52"/>
      <c r="L81" s="52"/>
      <c r="M81" s="52"/>
    </row>
    <row r="82" spans="1:13" s="51" customFormat="1" x14ac:dyDescent="0.25">
      <c r="A82" s="54"/>
      <c r="B82" s="55"/>
      <c r="C82" s="55"/>
      <c r="E82" s="56"/>
      <c r="F82" s="52"/>
      <c r="G82" s="56"/>
      <c r="H82" s="52"/>
      <c r="I82" s="52"/>
      <c r="J82" s="52"/>
      <c r="K82" s="52"/>
      <c r="L82" s="52"/>
      <c r="M82" s="52"/>
    </row>
    <row r="83" spans="1:13" s="51" customFormat="1" x14ac:dyDescent="0.25">
      <c r="A83" s="54"/>
      <c r="B83" s="55"/>
      <c r="C83" s="55"/>
      <c r="E83" s="56"/>
      <c r="F83" s="52"/>
      <c r="G83" s="56"/>
      <c r="H83" s="52"/>
      <c r="I83" s="52"/>
      <c r="J83" s="52"/>
      <c r="K83" s="52"/>
      <c r="L83" s="52"/>
      <c r="M83" s="52"/>
    </row>
    <row r="84" spans="1:13" s="51" customFormat="1" x14ac:dyDescent="0.25">
      <c r="A84" s="54"/>
      <c r="B84" s="55"/>
      <c r="C84" s="55"/>
      <c r="E84" s="56"/>
      <c r="F84" s="52"/>
      <c r="G84" s="56"/>
      <c r="H84" s="52"/>
      <c r="I84" s="52"/>
      <c r="J84" s="52"/>
      <c r="K84" s="52"/>
      <c r="L84" s="52"/>
      <c r="M84" s="52"/>
    </row>
    <row r="85" spans="1:13" s="51" customFormat="1" x14ac:dyDescent="0.25">
      <c r="A85" s="54"/>
      <c r="B85" s="55"/>
      <c r="C85" s="55"/>
      <c r="E85" s="56"/>
      <c r="F85" s="52"/>
      <c r="G85" s="56"/>
      <c r="H85" s="52"/>
      <c r="I85" s="52"/>
      <c r="J85" s="52"/>
      <c r="K85" s="52"/>
      <c r="L85" s="52"/>
      <c r="M85" s="52"/>
    </row>
    <row r="86" spans="1:13" s="51" customFormat="1" x14ac:dyDescent="0.25">
      <c r="A86" s="54"/>
      <c r="B86" s="55"/>
      <c r="C86" s="55"/>
      <c r="E86" s="56"/>
      <c r="F86" s="52"/>
      <c r="G86" s="56"/>
      <c r="H86" s="52"/>
      <c r="I86" s="52"/>
      <c r="J86" s="52"/>
      <c r="K86" s="52"/>
      <c r="L86" s="52"/>
      <c r="M86" s="52"/>
    </row>
    <row r="87" spans="1:13" s="51" customFormat="1" x14ac:dyDescent="0.25">
      <c r="A87" s="54"/>
      <c r="B87" s="55"/>
      <c r="C87" s="55"/>
      <c r="E87" s="56"/>
      <c r="F87" s="52"/>
      <c r="G87" s="56"/>
      <c r="H87" s="52"/>
      <c r="I87" s="52"/>
      <c r="J87" s="52"/>
      <c r="K87" s="52"/>
      <c r="L87" s="52"/>
      <c r="M87" s="52"/>
    </row>
    <row r="88" spans="1:13" s="51" customFormat="1" x14ac:dyDescent="0.25">
      <c r="A88" s="54"/>
      <c r="B88" s="55"/>
      <c r="C88" s="55"/>
      <c r="E88" s="56"/>
      <c r="F88" s="52"/>
      <c r="G88" s="56"/>
      <c r="H88" s="52"/>
      <c r="I88" s="52"/>
      <c r="J88" s="52"/>
      <c r="K88" s="52"/>
      <c r="L88" s="52"/>
      <c r="M88" s="52"/>
    </row>
    <row r="89" spans="1:13" s="51" customFormat="1" x14ac:dyDescent="0.25">
      <c r="A89" s="54"/>
      <c r="B89" s="55"/>
      <c r="C89" s="55"/>
      <c r="E89" s="56"/>
      <c r="F89" s="52"/>
      <c r="G89" s="56"/>
      <c r="H89" s="52"/>
      <c r="I89" s="52"/>
      <c r="J89" s="52"/>
      <c r="K89" s="52"/>
      <c r="L89" s="52"/>
      <c r="M89" s="52"/>
    </row>
    <row r="90" spans="1:13" s="51" customFormat="1" x14ac:dyDescent="0.25">
      <c r="A90" s="54"/>
      <c r="B90" s="55"/>
      <c r="C90" s="55"/>
      <c r="E90" s="56"/>
      <c r="F90" s="52"/>
      <c r="G90" s="56"/>
      <c r="H90" s="52"/>
      <c r="I90" s="52"/>
      <c r="J90" s="52"/>
      <c r="K90" s="52"/>
      <c r="L90" s="52"/>
      <c r="M90" s="52"/>
    </row>
    <row r="91" spans="1:13" s="51" customFormat="1" x14ac:dyDescent="0.25">
      <c r="A91" s="54"/>
      <c r="B91" s="55"/>
      <c r="C91" s="55"/>
      <c r="E91" s="56"/>
      <c r="F91" s="52"/>
      <c r="G91" s="56"/>
      <c r="H91" s="52"/>
      <c r="I91" s="52"/>
      <c r="J91" s="52"/>
      <c r="K91" s="52"/>
      <c r="L91" s="52"/>
      <c r="M91" s="52"/>
    </row>
    <row r="92" spans="1:13" s="51" customFormat="1" x14ac:dyDescent="0.25">
      <c r="A92" s="54"/>
      <c r="B92" s="55"/>
      <c r="C92" s="55"/>
      <c r="E92" s="56"/>
      <c r="F92" s="52"/>
      <c r="G92" s="56"/>
      <c r="H92" s="52"/>
      <c r="I92" s="52"/>
      <c r="J92" s="52"/>
      <c r="K92" s="52"/>
      <c r="L92" s="52"/>
      <c r="M92" s="52"/>
    </row>
    <row r="93" spans="1:13" s="51" customFormat="1" x14ac:dyDescent="0.25">
      <c r="A93" s="54"/>
      <c r="B93" s="55"/>
      <c r="C93" s="55"/>
      <c r="E93" s="56"/>
      <c r="F93" s="52"/>
      <c r="G93" s="56"/>
      <c r="H93" s="52"/>
      <c r="I93" s="52"/>
      <c r="J93" s="52"/>
      <c r="K93" s="52"/>
      <c r="L93" s="52"/>
      <c r="M93" s="52"/>
    </row>
    <row r="94" spans="1:13" s="51" customFormat="1" x14ac:dyDescent="0.25">
      <c r="A94" s="54"/>
      <c r="B94" s="55"/>
      <c r="C94" s="55"/>
      <c r="E94" s="56"/>
      <c r="F94" s="52"/>
      <c r="G94" s="56"/>
      <c r="H94" s="52"/>
      <c r="I94" s="52"/>
      <c r="J94" s="52"/>
      <c r="K94" s="52"/>
      <c r="L94" s="52"/>
      <c r="M94" s="52"/>
    </row>
    <row r="95" spans="1:13" s="51" customFormat="1" x14ac:dyDescent="0.25">
      <c r="A95" s="54"/>
      <c r="B95" s="55"/>
      <c r="C95" s="55"/>
      <c r="E95" s="56"/>
      <c r="F95" s="52"/>
      <c r="G95" s="56"/>
      <c r="H95" s="52"/>
      <c r="I95" s="52"/>
      <c r="J95" s="52"/>
      <c r="K95" s="52"/>
      <c r="L95" s="52"/>
      <c r="M95" s="52"/>
    </row>
    <row r="96" spans="1:13" s="51" customFormat="1" x14ac:dyDescent="0.25">
      <c r="A96" s="54"/>
      <c r="B96" s="55"/>
      <c r="C96" s="55"/>
      <c r="E96" s="56"/>
      <c r="F96" s="52"/>
      <c r="G96" s="56"/>
      <c r="H96" s="52"/>
      <c r="I96" s="52"/>
      <c r="J96" s="52"/>
      <c r="K96" s="52"/>
      <c r="L96" s="52"/>
      <c r="M96" s="52"/>
    </row>
    <row r="97" spans="1:13" s="51" customFormat="1" x14ac:dyDescent="0.25">
      <c r="A97" s="54"/>
      <c r="B97" s="55"/>
      <c r="C97" s="55"/>
      <c r="E97" s="56"/>
      <c r="F97" s="52"/>
      <c r="G97" s="56"/>
      <c r="H97" s="52"/>
      <c r="I97" s="52"/>
      <c r="J97" s="52"/>
      <c r="K97" s="52"/>
      <c r="L97" s="52"/>
      <c r="M97" s="52"/>
    </row>
    <row r="98" spans="1:13" s="51" customFormat="1" x14ac:dyDescent="0.25">
      <c r="A98" s="54"/>
      <c r="B98" s="55"/>
      <c r="C98" s="55"/>
      <c r="E98" s="56"/>
      <c r="F98" s="52"/>
      <c r="G98" s="56"/>
      <c r="H98" s="52"/>
      <c r="I98" s="52"/>
      <c r="J98" s="52"/>
      <c r="K98" s="52"/>
      <c r="L98" s="52"/>
      <c r="M98" s="52"/>
    </row>
    <row r="99" spans="1:13" s="51" customFormat="1" x14ac:dyDescent="0.25">
      <c r="A99" s="54"/>
      <c r="B99" s="55"/>
      <c r="C99" s="55"/>
      <c r="E99" s="56"/>
      <c r="F99" s="52"/>
      <c r="G99" s="56"/>
      <c r="H99" s="52"/>
      <c r="I99" s="52"/>
      <c r="J99" s="52"/>
      <c r="K99" s="52"/>
      <c r="L99" s="52"/>
      <c r="M99" s="52"/>
    </row>
    <row r="100" spans="1:13" s="51" customFormat="1" x14ac:dyDescent="0.25">
      <c r="A100" s="54"/>
      <c r="B100" s="55"/>
      <c r="C100" s="55"/>
      <c r="E100" s="56"/>
      <c r="F100" s="52"/>
      <c r="G100" s="56"/>
      <c r="H100" s="52"/>
      <c r="I100" s="52"/>
      <c r="J100" s="52"/>
      <c r="K100" s="52"/>
      <c r="L100" s="52"/>
      <c r="M100" s="52"/>
    </row>
    <row r="101" spans="1:13" s="51" customFormat="1" x14ac:dyDescent="0.25">
      <c r="A101" s="54"/>
      <c r="B101" s="55"/>
      <c r="C101" s="55"/>
      <c r="E101" s="56"/>
      <c r="F101" s="52"/>
      <c r="G101" s="56"/>
      <c r="H101" s="52"/>
      <c r="I101" s="52"/>
      <c r="J101" s="52"/>
      <c r="K101" s="52"/>
      <c r="L101" s="52"/>
      <c r="M101" s="52"/>
    </row>
    <row r="102" spans="1:13" s="51" customFormat="1" x14ac:dyDescent="0.25">
      <c r="A102" s="54"/>
      <c r="B102" s="55"/>
      <c r="C102" s="55"/>
      <c r="E102" s="56"/>
      <c r="F102" s="52"/>
      <c r="G102" s="56"/>
      <c r="H102" s="52"/>
      <c r="I102" s="52"/>
      <c r="J102" s="52"/>
      <c r="K102" s="52"/>
      <c r="L102" s="52"/>
      <c r="M102" s="52"/>
    </row>
    <row r="103" spans="1:13" s="51" customFormat="1" x14ac:dyDescent="0.25">
      <c r="A103" s="54"/>
      <c r="B103" s="55"/>
      <c r="C103" s="55"/>
      <c r="E103" s="56"/>
      <c r="F103" s="52"/>
      <c r="G103" s="56"/>
      <c r="H103" s="52"/>
      <c r="I103" s="52"/>
      <c r="J103" s="52"/>
      <c r="K103" s="52"/>
      <c r="L103" s="52"/>
      <c r="M103" s="52"/>
    </row>
    <row r="104" spans="1:13" s="51" customFormat="1" x14ac:dyDescent="0.25">
      <c r="A104" s="54"/>
      <c r="B104" s="55"/>
      <c r="C104" s="55"/>
      <c r="E104" s="56"/>
      <c r="F104" s="52"/>
      <c r="G104" s="56"/>
      <c r="H104" s="52"/>
      <c r="I104" s="52"/>
      <c r="J104" s="52"/>
      <c r="K104" s="52"/>
      <c r="L104" s="52"/>
      <c r="M104" s="52"/>
    </row>
    <row r="105" spans="1:13" s="51" customFormat="1" x14ac:dyDescent="0.25">
      <c r="A105" s="54"/>
      <c r="B105" s="55"/>
      <c r="C105" s="55"/>
      <c r="E105" s="56"/>
      <c r="F105" s="52"/>
      <c r="G105" s="56"/>
      <c r="H105" s="52"/>
      <c r="I105" s="52"/>
      <c r="J105" s="52"/>
      <c r="K105" s="52"/>
      <c r="L105" s="52"/>
      <c r="M105" s="52"/>
    </row>
    <row r="106" spans="1:13" s="51" customFormat="1" x14ac:dyDescent="0.25">
      <c r="A106" s="54"/>
      <c r="B106" s="55"/>
      <c r="C106" s="55"/>
      <c r="E106" s="56"/>
      <c r="F106" s="52"/>
      <c r="G106" s="56"/>
      <c r="H106" s="52"/>
      <c r="I106" s="52"/>
      <c r="J106" s="52"/>
      <c r="K106" s="52"/>
      <c r="L106" s="52"/>
      <c r="M106" s="52"/>
    </row>
    <row r="107" spans="1:13" s="51" customFormat="1" x14ac:dyDescent="0.25">
      <c r="A107" s="54"/>
      <c r="B107" s="55"/>
      <c r="C107" s="55"/>
      <c r="E107" s="56"/>
      <c r="F107" s="52"/>
      <c r="G107" s="56"/>
      <c r="H107" s="52"/>
      <c r="I107" s="52"/>
      <c r="J107" s="52"/>
      <c r="K107" s="52"/>
      <c r="L107" s="52"/>
      <c r="M107" s="52"/>
    </row>
    <row r="108" spans="1:13" s="51" customFormat="1" x14ac:dyDescent="0.25">
      <c r="A108" s="54"/>
      <c r="B108" s="55"/>
      <c r="C108" s="55"/>
      <c r="E108" s="56"/>
      <c r="F108" s="52"/>
      <c r="G108" s="56"/>
      <c r="H108" s="52"/>
      <c r="I108" s="52"/>
      <c r="J108" s="52"/>
      <c r="K108" s="52"/>
      <c r="L108" s="52"/>
      <c r="M108" s="52"/>
    </row>
    <row r="109" spans="1:13" s="51" customFormat="1" x14ac:dyDescent="0.25">
      <c r="A109" s="54"/>
      <c r="B109" s="55"/>
      <c r="C109" s="55"/>
      <c r="E109" s="56"/>
      <c r="F109" s="52"/>
      <c r="G109" s="56"/>
      <c r="H109" s="52"/>
      <c r="I109" s="52"/>
      <c r="J109" s="52"/>
      <c r="K109" s="52"/>
      <c r="L109" s="52"/>
      <c r="M109" s="52"/>
    </row>
    <row r="110" spans="1:13" s="51" customFormat="1" x14ac:dyDescent="0.25">
      <c r="A110" s="54"/>
      <c r="B110" s="55"/>
      <c r="C110" s="55"/>
      <c r="E110" s="56"/>
      <c r="F110" s="52"/>
      <c r="G110" s="56"/>
      <c r="H110" s="52"/>
      <c r="I110" s="52"/>
      <c r="J110" s="52"/>
      <c r="K110" s="52"/>
      <c r="L110" s="52"/>
      <c r="M110" s="52"/>
    </row>
    <row r="111" spans="1:13" s="51" customFormat="1" x14ac:dyDescent="0.25">
      <c r="A111" s="54"/>
      <c r="B111" s="55"/>
      <c r="C111" s="55"/>
      <c r="E111" s="56"/>
      <c r="F111" s="52"/>
      <c r="G111" s="56"/>
      <c r="H111" s="52"/>
      <c r="I111" s="52"/>
      <c r="J111" s="52"/>
      <c r="K111" s="52"/>
      <c r="L111" s="52"/>
      <c r="M111" s="52"/>
    </row>
    <row r="112" spans="1:13" s="51" customFormat="1" x14ac:dyDescent="0.25">
      <c r="A112" s="54"/>
      <c r="B112" s="55"/>
      <c r="C112" s="55"/>
      <c r="E112" s="56"/>
      <c r="F112" s="52"/>
      <c r="G112" s="56"/>
      <c r="H112" s="52"/>
      <c r="I112" s="52"/>
      <c r="J112" s="52"/>
      <c r="K112" s="52"/>
      <c r="L112" s="52"/>
      <c r="M112" s="52"/>
    </row>
    <row r="113" spans="1:13" s="51" customFormat="1" x14ac:dyDescent="0.25">
      <c r="A113" s="54"/>
      <c r="B113" s="55"/>
      <c r="C113" s="55"/>
      <c r="E113" s="56"/>
      <c r="F113" s="52"/>
      <c r="G113" s="56"/>
      <c r="H113" s="52"/>
      <c r="I113" s="52"/>
      <c r="J113" s="52"/>
      <c r="K113" s="52"/>
      <c r="L113" s="52"/>
      <c r="M113" s="52"/>
    </row>
  </sheetData>
  <sheetProtection formatCells="0" formatColumns="0"/>
  <mergeCells count="36">
    <mergeCell ref="A41:H41"/>
    <mergeCell ref="A38:H38"/>
    <mergeCell ref="A39:H39"/>
    <mergeCell ref="A40:H40"/>
    <mergeCell ref="A32:H32"/>
    <mergeCell ref="A33:H33"/>
    <mergeCell ref="A35:D35"/>
    <mergeCell ref="A28:A29"/>
    <mergeCell ref="B28:B29"/>
    <mergeCell ref="E28:E29"/>
    <mergeCell ref="G28:G29"/>
    <mergeCell ref="A30:A31"/>
    <mergeCell ref="B30:B31"/>
    <mergeCell ref="E30:E31"/>
    <mergeCell ref="G30:G31"/>
    <mergeCell ref="A24:A26"/>
    <mergeCell ref="B24:B26"/>
    <mergeCell ref="E24:E26"/>
    <mergeCell ref="G24:G26"/>
    <mergeCell ref="A7:A8"/>
    <mergeCell ref="B7:B8"/>
    <mergeCell ref="E7:E8"/>
    <mergeCell ref="G7:G8"/>
    <mergeCell ref="A11:H11"/>
    <mergeCell ref="A16:H16"/>
    <mergeCell ref="A18:A19"/>
    <mergeCell ref="B18:B19"/>
    <mergeCell ref="E18:E19"/>
    <mergeCell ref="G18:G19"/>
    <mergeCell ref="A23:H23"/>
    <mergeCell ref="A1:H1"/>
    <mergeCell ref="I1:M1"/>
    <mergeCell ref="A3:A6"/>
    <mergeCell ref="B3:B6"/>
    <mergeCell ref="E3:E6"/>
    <mergeCell ref="G3:G6"/>
  </mergeCells>
  <conditionalFormatting sqref="I3:I10 I12:I15 I17:I22 I24:I31">
    <cfRule type="cellIs" dxfId="7" priority="6" operator="lessThan">
      <formula>75</formula>
    </cfRule>
  </conditionalFormatting>
  <conditionalFormatting sqref="J3:J10">
    <cfRule type="cellIs" dxfId="6" priority="3" operator="lessThan">
      <formula>80</formula>
    </cfRule>
  </conditionalFormatting>
  <conditionalFormatting sqref="J12:J15 J17:J22 J24:J31">
    <cfRule type="cellIs" dxfId="5" priority="4" operator="lessThan">
      <formula>80</formula>
    </cfRule>
  </conditionalFormatting>
  <conditionalFormatting sqref="K3:L10 K12:L15 K17:L22 K24:L31">
    <cfRule type="cellIs" dxfId="4" priority="1" operator="lessThan">
      <formula>95</formula>
    </cfRule>
  </conditionalFormatting>
  <printOptions horizontalCentered="1"/>
  <pageMargins left="0.19685039370078741" right="0.19685039370078741" top="0.98425196850393704" bottom="0.59055118110236227" header="0.11811023622047245" footer="0.11811023622047245"/>
  <pageSetup paperSize="9" scale="79" fitToHeight="0" orientation="landscape" r:id="rId1"/>
  <headerFooter>
    <oddHeader>&amp;L&amp;G&amp;C&amp;"Arial,Negrito"&amp;10ORGANIZAÇÃO DAS VOLUNTÁRIAS DE GOIÁS
INDICADOR DE DESEMPENHO 2024/1</oddHeader>
    <oddFooter>&amp;R&amp;P de &amp;N</oddFooter>
  </headerFooter>
  <rowBreaks count="1" manualBreakCount="1">
    <brk id="2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9"/>
  <sheetViews>
    <sheetView view="pageBreakPreview" topLeftCell="B1" zoomScaleNormal="100" zoomScaleSheetLayoutView="100" workbookViewId="0">
      <pane ySplit="2" topLeftCell="A3" activePane="bottomLeft" state="frozen"/>
      <selection pane="bottomLeft" activeCell="V3" sqref="V3:Y8"/>
    </sheetView>
  </sheetViews>
  <sheetFormatPr defaultColWidth="8.85546875" defaultRowHeight="12.75" x14ac:dyDescent="0.25"/>
  <cols>
    <col min="1" max="1" width="53.7109375" style="51" customWidth="1"/>
    <col min="2" max="3" width="12.85546875" style="52" customWidth="1"/>
    <col min="4" max="4" width="13.42578125" style="52" customWidth="1"/>
    <col min="5" max="5" width="4.28515625" style="51" customWidth="1"/>
    <col min="6" max="6" width="15.7109375" style="51" customWidth="1"/>
    <col min="7" max="7" width="10.7109375" style="51" customWidth="1"/>
    <col min="8" max="8" width="4.28515625" style="51" customWidth="1"/>
    <col min="9" max="9" width="25.7109375" style="51" customWidth="1"/>
    <col min="10" max="10" width="15.7109375" style="51" customWidth="1"/>
    <col min="11" max="21" width="8.85546875" style="51"/>
    <col min="22" max="22" width="11.140625" style="51" bestFit="1" customWidth="1"/>
    <col min="23" max="23" width="7.5703125" style="51" bestFit="1" customWidth="1"/>
    <col min="24" max="16384" width="8.85546875" style="51"/>
  </cols>
  <sheetData>
    <row r="1" spans="1:25" s="34" customFormat="1" ht="27" customHeight="1" thickBot="1" x14ac:dyDescent="0.3">
      <c r="A1" s="15" t="s">
        <v>100</v>
      </c>
      <c r="B1" s="70" t="s">
        <v>140</v>
      </c>
      <c r="C1" s="71"/>
      <c r="D1" s="81"/>
      <c r="E1" s="51"/>
      <c r="F1" s="15" t="s">
        <v>138</v>
      </c>
      <c r="G1" s="50">
        <f>INT(D7/10)</f>
        <v>9</v>
      </c>
      <c r="H1" s="51"/>
      <c r="I1" s="58" t="s">
        <v>139</v>
      </c>
      <c r="J1" s="53" t="str">
        <f>IF(G1&lt;5,"Ruim",IF(G1&lt;7,"Razoável",IF(G1&lt;9,"Bom","Excelente")))</f>
        <v>Excelente</v>
      </c>
      <c r="K1" s="51"/>
      <c r="L1" s="51"/>
      <c r="M1" s="51"/>
      <c r="N1" s="51"/>
      <c r="O1" s="51"/>
      <c r="P1" s="51"/>
      <c r="Q1" s="51"/>
    </row>
    <row r="2" spans="1:25" s="34" customFormat="1" ht="27" customHeight="1" x14ac:dyDescent="0.25">
      <c r="A2" s="15" t="s">
        <v>105</v>
      </c>
      <c r="B2" s="6" t="s">
        <v>93</v>
      </c>
      <c r="C2" s="6" t="s">
        <v>94</v>
      </c>
      <c r="D2" s="6" t="s">
        <v>90</v>
      </c>
      <c r="E2" s="51"/>
      <c r="F2" s="51"/>
      <c r="G2" s="51"/>
      <c r="H2" s="51"/>
      <c r="I2" s="51"/>
      <c r="J2" s="51"/>
      <c r="K2" s="51"/>
      <c r="L2" s="51"/>
      <c r="M2" s="51"/>
      <c r="N2" s="51"/>
      <c r="O2" s="51"/>
      <c r="P2" s="51"/>
      <c r="Q2" s="51"/>
    </row>
    <row r="3" spans="1:25" s="34" customFormat="1" ht="27" customHeight="1" x14ac:dyDescent="0.25">
      <c r="A3" s="36" t="s">
        <v>133</v>
      </c>
      <c r="B3" s="35">
        <f>'2º SEMESTRE 2023'!M11</f>
        <v>97.394416666666658</v>
      </c>
      <c r="C3" s="35">
        <f>'1º SEMESTRE 2024'!M11</f>
        <v>97.397376280151065</v>
      </c>
      <c r="D3" s="41">
        <f>IFERROR(AVERAGE(B3:C3),0)</f>
        <v>97.395896473408868</v>
      </c>
      <c r="E3" s="51"/>
      <c r="F3" s="51"/>
      <c r="G3" s="51"/>
      <c r="H3" s="51"/>
      <c r="I3" s="51"/>
      <c r="J3" s="51"/>
      <c r="K3" s="51"/>
      <c r="L3" s="51"/>
      <c r="M3" s="51"/>
      <c r="N3" s="51"/>
      <c r="O3" s="51"/>
      <c r="P3" s="51"/>
      <c r="Q3" s="51"/>
      <c r="V3"/>
      <c r="W3"/>
      <c r="X3"/>
      <c r="Y3"/>
    </row>
    <row r="4" spans="1:25" s="34" customFormat="1" ht="27" customHeight="1" x14ac:dyDescent="0.25">
      <c r="A4" s="36" t="s">
        <v>134</v>
      </c>
      <c r="B4" s="35">
        <f>'2º SEMESTRE 2023'!M16</f>
        <v>99.175025424048656</v>
      </c>
      <c r="C4" s="35">
        <f>'1º SEMESTRE 2024'!M16</f>
        <v>99.457999999999998</v>
      </c>
      <c r="D4" s="41">
        <f t="shared" ref="D4:D6" si="0">IFERROR(AVERAGE(B4:C4),0)</f>
        <v>99.31651271202432</v>
      </c>
      <c r="E4" s="51"/>
      <c r="F4" s="51"/>
      <c r="G4" s="51"/>
      <c r="H4" s="51"/>
      <c r="I4" s="51"/>
      <c r="J4" s="51"/>
      <c r="K4" s="51"/>
      <c r="L4" s="51"/>
      <c r="M4" s="51"/>
      <c r="N4" s="51"/>
      <c r="O4" s="51"/>
      <c r="P4" s="51"/>
      <c r="Q4" s="51"/>
      <c r="V4"/>
      <c r="W4"/>
      <c r="X4"/>
      <c r="Y4"/>
    </row>
    <row r="5" spans="1:25" s="34" customFormat="1" ht="27" customHeight="1" x14ac:dyDescent="0.25">
      <c r="A5" s="36" t="s">
        <v>135</v>
      </c>
      <c r="B5" s="35">
        <f>'2º SEMESTRE 2023'!M23</f>
        <v>98.913445428310467</v>
      </c>
      <c r="C5" s="35">
        <f>'1º SEMESTRE 2024'!M23</f>
        <v>96.775620886735226</v>
      </c>
      <c r="D5" s="41">
        <f t="shared" si="0"/>
        <v>97.844533157522847</v>
      </c>
      <c r="E5" s="51"/>
      <c r="F5" s="51"/>
      <c r="G5" s="51"/>
      <c r="H5" s="51"/>
      <c r="I5" s="51"/>
      <c r="J5" s="51"/>
      <c r="K5" s="51"/>
      <c r="L5" s="51"/>
      <c r="M5" s="51"/>
      <c r="N5" s="51"/>
      <c r="O5" s="51"/>
      <c r="P5" s="51"/>
      <c r="Q5" s="51"/>
      <c r="V5"/>
      <c r="W5"/>
      <c r="X5"/>
      <c r="Y5"/>
    </row>
    <row r="6" spans="1:25" s="34" customFormat="1" ht="27" customHeight="1" x14ac:dyDescent="0.25">
      <c r="A6" s="36" t="s">
        <v>136</v>
      </c>
      <c r="B6" s="35">
        <f>'2º SEMESTRE 2023'!M32</f>
        <v>99.381428571428572</v>
      </c>
      <c r="C6" s="35">
        <f>'1º SEMESTRE 2024'!M32</f>
        <v>99.393200000000007</v>
      </c>
      <c r="D6" s="41">
        <f t="shared" si="0"/>
        <v>99.387314285714297</v>
      </c>
      <c r="E6" s="51"/>
      <c r="F6" s="51"/>
      <c r="G6" s="51"/>
      <c r="H6" s="51"/>
      <c r="I6" s="51"/>
      <c r="J6" s="51"/>
      <c r="K6" s="51"/>
      <c r="L6" s="51"/>
      <c r="M6" s="51"/>
      <c r="N6" s="51"/>
      <c r="O6" s="51"/>
      <c r="P6" s="51"/>
      <c r="Q6" s="51"/>
      <c r="V6"/>
      <c r="W6"/>
      <c r="X6"/>
      <c r="Y6"/>
    </row>
    <row r="7" spans="1:25" s="34" customFormat="1" ht="27" customHeight="1" x14ac:dyDescent="0.25">
      <c r="A7" s="36" t="s">
        <v>132</v>
      </c>
      <c r="B7" s="37">
        <f>IF(AVERAGE(B6,B5,B4,B3)&gt;100,100,AVERAGE(B6,B5,B4,B3))</f>
        <v>98.716079022613584</v>
      </c>
      <c r="C7" s="37">
        <f>IF(AVERAGE(C6,C5,C4,C3)&gt;100,100,AVERAGE(C6,C5,C4,C3))</f>
        <v>98.256049291721581</v>
      </c>
      <c r="D7" s="37">
        <f>IFERROR(IF(AVERAGE(D6,D5,D4,D3)&gt;100,100,AVERAGE(D6,D5,D4,D3)),0)</f>
        <v>98.486064157167576</v>
      </c>
      <c r="E7" s="51"/>
      <c r="F7" s="51"/>
      <c r="G7" s="51"/>
      <c r="H7" s="51"/>
      <c r="I7" s="51"/>
      <c r="J7" s="51"/>
      <c r="K7" s="51"/>
      <c r="L7" s="51"/>
      <c r="M7" s="51"/>
      <c r="N7" s="51"/>
      <c r="O7" s="51"/>
      <c r="P7" s="51"/>
      <c r="Q7" s="51"/>
      <c r="V7"/>
      <c r="W7"/>
      <c r="X7"/>
      <c r="Y7"/>
    </row>
    <row r="8" spans="1:25" s="38" customFormat="1" ht="27" customHeight="1" x14ac:dyDescent="0.25">
      <c r="A8" s="51"/>
      <c r="B8" s="52"/>
      <c r="C8" s="52"/>
      <c r="D8" s="52"/>
      <c r="E8" s="52"/>
      <c r="F8" s="52"/>
      <c r="G8" s="52"/>
      <c r="H8" s="52"/>
      <c r="I8" s="52"/>
      <c r="J8" s="52"/>
      <c r="K8" s="52"/>
      <c r="L8" s="52"/>
      <c r="M8" s="52"/>
      <c r="N8" s="52"/>
      <c r="O8" s="52"/>
      <c r="P8" s="52"/>
      <c r="Q8" s="52"/>
      <c r="V8"/>
      <c r="W8"/>
      <c r="X8"/>
      <c r="Y8"/>
    </row>
    <row r="9" spans="1:25" s="38" customFormat="1" ht="27" customHeight="1" x14ac:dyDescent="0.25">
      <c r="A9" s="39" t="s">
        <v>106</v>
      </c>
      <c r="B9" s="13">
        <f>'2º SEMESTRE 2023'!$E$35</f>
        <v>160469801.40000001</v>
      </c>
      <c r="C9" s="13">
        <f>'1º SEMESTRE 2024'!$E$35</f>
        <v>155264416.74000001</v>
      </c>
      <c r="D9" s="14">
        <f>SUM(B9:C9)</f>
        <v>315734218.13999999</v>
      </c>
      <c r="E9" s="52"/>
      <c r="F9" s="52"/>
      <c r="G9" s="52"/>
      <c r="H9" s="52"/>
      <c r="I9" s="52"/>
      <c r="J9" s="52"/>
      <c r="K9" s="52"/>
      <c r="L9" s="52"/>
      <c r="M9" s="52"/>
      <c r="N9" s="52"/>
      <c r="O9" s="52"/>
      <c r="P9" s="52"/>
      <c r="Q9" s="52"/>
    </row>
    <row r="10" spans="1:25" s="38" customFormat="1" ht="27" customHeight="1" x14ac:dyDescent="0.25">
      <c r="A10" s="39" t="s">
        <v>107</v>
      </c>
      <c r="B10" s="13">
        <f>'2º SEMESTRE 2023'!$G$35</f>
        <v>151474368.90000004</v>
      </c>
      <c r="C10" s="13">
        <f>'1º SEMESTRE 2024'!$G$35</f>
        <v>129396267.13</v>
      </c>
      <c r="D10" s="14">
        <f>SUM(B10:C10)</f>
        <v>280870636.03000003</v>
      </c>
      <c r="E10" s="52"/>
      <c r="F10" s="52"/>
      <c r="G10" s="52"/>
      <c r="H10" s="52"/>
      <c r="I10" s="52"/>
      <c r="J10" s="52"/>
      <c r="K10" s="52"/>
      <c r="L10" s="52"/>
      <c r="M10" s="52"/>
      <c r="N10" s="52"/>
      <c r="O10" s="52"/>
      <c r="P10" s="52"/>
      <c r="Q10" s="52"/>
    </row>
    <row r="11" spans="1:25" s="38" customFormat="1" ht="27" customHeight="1" x14ac:dyDescent="0.25">
      <c r="A11" s="39" t="s">
        <v>141</v>
      </c>
      <c r="B11" s="13">
        <f>'Planejado 2023-2'!$I$35</f>
        <v>26761763</v>
      </c>
      <c r="C11" s="13">
        <f>'Planejado 2024-1'!$I$34</f>
        <v>25239299</v>
      </c>
      <c r="D11" s="14">
        <f>SUM(B11:C11)</f>
        <v>52001062</v>
      </c>
      <c r="E11" s="52"/>
      <c r="F11" s="52"/>
      <c r="G11" s="52"/>
      <c r="H11" s="52"/>
      <c r="I11" s="52"/>
      <c r="J11" s="52"/>
      <c r="K11" s="52"/>
      <c r="L11" s="52"/>
      <c r="M11" s="52"/>
      <c r="N11" s="52"/>
      <c r="O11" s="52"/>
      <c r="P11" s="52"/>
      <c r="Q11" s="52"/>
    </row>
    <row r="12" spans="1:25" s="38" customFormat="1" ht="27" customHeight="1" x14ac:dyDescent="0.25">
      <c r="A12" s="40" t="s">
        <v>90</v>
      </c>
      <c r="B12" s="14">
        <f>SUM(B9:B11)</f>
        <v>338705933.30000007</v>
      </c>
      <c r="C12" s="14">
        <f>SUM(C9:C11)</f>
        <v>309899982.87</v>
      </c>
      <c r="D12" s="14">
        <f>SUM(D9:D11)</f>
        <v>648605916.17000008</v>
      </c>
      <c r="E12" s="52"/>
      <c r="F12" s="52"/>
      <c r="G12" s="52"/>
      <c r="H12" s="52"/>
      <c r="I12" s="52"/>
      <c r="J12" s="52"/>
      <c r="K12" s="52"/>
      <c r="L12" s="52"/>
      <c r="M12" s="52"/>
      <c r="N12" s="52"/>
      <c r="O12" s="52"/>
      <c r="P12" s="52"/>
      <c r="Q12" s="52"/>
    </row>
    <row r="13" spans="1:25" s="38" customFormat="1" ht="27" customHeight="1" x14ac:dyDescent="0.25">
      <c r="A13" s="34"/>
      <c r="E13" s="52"/>
      <c r="F13" s="52"/>
      <c r="G13" s="52"/>
      <c r="H13" s="52"/>
      <c r="I13" s="52"/>
      <c r="J13" s="52"/>
      <c r="K13" s="52"/>
      <c r="L13" s="52"/>
      <c r="M13" s="52"/>
      <c r="N13" s="52"/>
      <c r="O13" s="52"/>
      <c r="P13" s="52"/>
      <c r="Q13" s="52"/>
    </row>
    <row r="14" spans="1:25" s="38" customFormat="1" ht="27" customHeight="1" x14ac:dyDescent="0.25">
      <c r="A14" s="39" t="s">
        <v>129</v>
      </c>
      <c r="B14" s="44">
        <f>'2º SEMESTRE 2023'!$F$35</f>
        <v>3597219</v>
      </c>
      <c r="C14" s="44">
        <f>'1º SEMESTRE 2024'!$F$35</f>
        <v>2953615</v>
      </c>
      <c r="D14" s="45">
        <f>SUM(B14:C14)</f>
        <v>6550834</v>
      </c>
      <c r="E14" s="52"/>
      <c r="F14" s="52"/>
      <c r="G14" s="52"/>
      <c r="H14" s="52"/>
      <c r="I14" s="52"/>
      <c r="J14" s="52"/>
      <c r="K14" s="52"/>
      <c r="L14" s="52"/>
      <c r="M14" s="52"/>
      <c r="N14" s="52"/>
      <c r="O14" s="52"/>
      <c r="P14" s="52"/>
      <c r="Q14" s="52"/>
    </row>
    <row r="15" spans="1:25" s="38" customFormat="1" ht="27" customHeight="1" x14ac:dyDescent="0.25">
      <c r="A15" s="39" t="s">
        <v>130</v>
      </c>
      <c r="B15" s="44">
        <f>'2º SEMESTRE 2023'!$H$35</f>
        <v>3865177</v>
      </c>
      <c r="C15" s="44">
        <f>'1º SEMESTRE 2024'!$H$35</f>
        <v>2947730</v>
      </c>
      <c r="D15" s="45">
        <f>SUM(B15:C15)</f>
        <v>6812907</v>
      </c>
      <c r="E15" s="52"/>
      <c r="F15" s="52"/>
      <c r="G15" s="52"/>
      <c r="H15" s="52"/>
      <c r="I15" s="52"/>
      <c r="J15" s="52"/>
      <c r="K15" s="52"/>
      <c r="L15" s="52"/>
      <c r="M15" s="52"/>
      <c r="N15" s="52"/>
      <c r="O15" s="52"/>
      <c r="P15" s="52"/>
      <c r="Q15" s="52"/>
    </row>
    <row r="16" spans="1:25" s="38" customFormat="1" ht="27" customHeight="1" x14ac:dyDescent="0.25">
      <c r="A16" s="40" t="s">
        <v>90</v>
      </c>
      <c r="B16" s="45">
        <f>SUM(B13:B15)</f>
        <v>7462396</v>
      </c>
      <c r="C16" s="45">
        <f>SUM(C13:C15)</f>
        <v>5901345</v>
      </c>
      <c r="D16" s="45">
        <f>SUM(D14:D15)</f>
        <v>13363741</v>
      </c>
      <c r="E16" s="52"/>
      <c r="F16" s="52"/>
      <c r="G16" s="52"/>
      <c r="H16" s="52"/>
      <c r="I16" s="52"/>
      <c r="J16" s="52"/>
      <c r="K16" s="52"/>
      <c r="L16" s="52"/>
      <c r="M16" s="52"/>
      <c r="N16" s="52"/>
      <c r="O16" s="52"/>
      <c r="P16" s="52"/>
      <c r="Q16" s="52"/>
    </row>
    <row r="19" spans="1:4" ht="38.25" customHeight="1" x14ac:dyDescent="0.25">
      <c r="A19" s="82" t="s">
        <v>148</v>
      </c>
      <c r="B19" s="82"/>
      <c r="C19" s="82"/>
      <c r="D19" s="82"/>
    </row>
  </sheetData>
  <sheetProtection formatCells="0" formatColumns="0"/>
  <mergeCells count="2">
    <mergeCell ref="B1:D1"/>
    <mergeCell ref="A19:D19"/>
  </mergeCells>
  <conditionalFormatting sqref="J1">
    <cfRule type="containsText" dxfId="3" priority="1" operator="containsText" text="Excelente">
      <formula>NOT(ISERROR(SEARCH("Excelente",J1)))</formula>
    </cfRule>
    <cfRule type="containsText" dxfId="2" priority="2" operator="containsText" text="Bom">
      <formula>NOT(ISERROR(SEARCH("Bom",J1)))</formula>
    </cfRule>
    <cfRule type="containsText" dxfId="1" priority="3" operator="containsText" text="Razoável">
      <formula>NOT(ISERROR(SEARCH("Razoável",J1)))</formula>
    </cfRule>
    <cfRule type="containsText" dxfId="0" priority="4" operator="containsText" text="Ruim">
      <formula>NOT(ISERROR(SEARCH("Ruim",J1)))</formula>
    </cfRule>
  </conditionalFormatting>
  <printOptions horizontalCentered="1"/>
  <pageMargins left="0.19685039370078741" right="0.19685039370078741" top="0.98425196850393704" bottom="0.59055118110236227" header="0.11811023622047245" footer="0.11811023622047245"/>
  <pageSetup paperSize="9" scale="85" fitToHeight="0" orientation="landscape" r:id="rId1"/>
  <headerFooter>
    <oddHeader>&amp;L&amp;G&amp;C&amp;"Arial,Negrito"&amp;10ORGANIZAÇÃO DAS VOLUNTÁRIAS DE GOIÁS
INDICADOR DE DESEMPENHO 2024/1</oddHeader>
    <oddFooter>&amp;R&amp;P de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7</vt:i4>
      </vt:variant>
    </vt:vector>
  </HeadingPairs>
  <TitlesOfParts>
    <vt:vector size="12" baseType="lpstr">
      <vt:lpstr>Planejado 2023-2</vt:lpstr>
      <vt:lpstr>Planejado 2024-1</vt:lpstr>
      <vt:lpstr>2º SEMESTRE 2023</vt:lpstr>
      <vt:lpstr>1º SEMESTRE 2024</vt:lpstr>
      <vt:lpstr>RESUMO</vt:lpstr>
      <vt:lpstr>'1º SEMESTRE 2024'!Area_de_impressao</vt:lpstr>
      <vt:lpstr>RESUMO!Area_de_impressao</vt:lpstr>
      <vt:lpstr>'1º SEMESTRE 2024'!Titulos_de_impressao</vt:lpstr>
      <vt:lpstr>'2º SEMESTRE 2023'!Titulos_de_impressao</vt:lpstr>
      <vt:lpstr>'Planejado 2023-2'!Titulos_de_impressao</vt:lpstr>
      <vt:lpstr>'Planejado 2024-1'!Titulos_de_impressao</vt:lpstr>
      <vt:lpstr>RESUMO!Titulos_de_impressao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Eduardo Jayme Oliveira</dc:creator>
  <cp:lastModifiedBy>Isadora de Fátima Lopes</cp:lastModifiedBy>
  <cp:lastPrinted>2024-07-30T13:58:05Z</cp:lastPrinted>
  <dcterms:created xsi:type="dcterms:W3CDTF">2023-07-04T20:43:46Z</dcterms:created>
  <dcterms:modified xsi:type="dcterms:W3CDTF">2024-07-30T13:59:24Z</dcterms:modified>
</cp:coreProperties>
</file>